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omments2.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charts/chart9.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drawings/drawing6.xml" ContentType="application/vnd.openxmlformats-officedocument.drawing+xml"/>
  <Override PartName="/xl/embeddings/oleObject38.bin" ContentType="application/vnd.openxmlformats-officedocument.oleObject"/>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backupFile="1" codeName="ThisWorkbook"/>
  <mc:AlternateContent xmlns:mc="http://schemas.openxmlformats.org/markup-compatibility/2006">
    <mc:Choice Requires="x15">
      <x15ac:absPath xmlns:x15ac="http://schemas.microsoft.com/office/spreadsheetml/2010/11/ac" url="C:\DATA\ShadowDrive\PlaSci\Plasci - Espace\StabTraj\"/>
    </mc:Choice>
  </mc:AlternateContent>
  <xr:revisionPtr revIDLastSave="0" documentId="13_ncr:1_{63ADF3DB-4996-4285-BFAC-68A79419FBCA}" xr6:coauthVersionLast="47" xr6:coauthVersionMax="47" xr10:uidLastSave="{00000000-0000-0000-0000-000000000000}"/>
  <bookViews>
    <workbookView xWindow="-103" yWindow="-103" windowWidth="25920" windowHeight="16629" xr2:uid="{00000000-000D-0000-FFFF-FFFF00000000}"/>
  </bookViews>
  <sheets>
    <sheet name="Stabilito" sheetId="6" r:id="rId1"/>
    <sheet name="Trajecto" sheetId="1" r:id="rId2"/>
    <sheet name="Courbes" sheetId="2" r:id="rId3"/>
    <sheet name="Propu" sheetId="4" r:id="rId4"/>
    <sheet name="Calculs" sheetId="3" r:id="rId5"/>
    <sheet name="Abaco" sheetId="8" r:id="rId6"/>
    <sheet name="Info" sheetId="5" r:id="rId7"/>
    <sheet name="Controle" sheetId="7" r:id="rId8"/>
  </sheets>
  <definedNames>
    <definedName name="_xlnm._FilterDatabase" localSheetId="3" hidden="1">Propu!$O$317:$P$345</definedName>
    <definedName name="a_prop">Abaco!$G$43:$G$69</definedName>
    <definedName name="Acc_max">Trajecto!$L$25</definedName>
    <definedName name="acc_x">Calculs!$D$4:$D$1004</definedName>
    <definedName name="acc_xz">Calculs!$F$4:$F$1004</definedName>
    <definedName name="acc_z">Calculs!$E$4:$E$1004</definedName>
    <definedName name="Alt_para">Trajecto!$I$28</definedName>
    <definedName name="alt_prop">Abaco!$J$43:$J$69</definedName>
    <definedName name="Alt_rampe">Trajecto!$C$21</definedName>
    <definedName name="Alt_sat">Trajecto!$I$26</definedName>
    <definedName name="Altitude_culmi">Trajecto!$I$27</definedName>
    <definedName name="b_bal">Abaco!$I$43:$I$69</definedName>
    <definedName name="b_prop">Abaco!$H$43:$H$69</definedName>
    <definedName name="Beta">Calculs!$M$4:$M$1004</definedName>
    <definedName name="Beta_rampe">Trajecto!$C$20</definedName>
    <definedName name="BetaD">Calculs!$N$4:$N$1004</definedName>
    <definedName name="CdP">Propu!$B$3:$Y$4</definedName>
    <definedName name="CdP_P">Propu!$B$4:$Y$4</definedName>
    <definedName name="CdP_t">Propu!$B$3:$Y$3</definedName>
    <definedName name="Club">Stabilito!$C$9</definedName>
    <definedName name="Cn">Stabilito!$H$28</definedName>
    <definedName name="Cn0">Stabilito!$I$28</definedName>
    <definedName name="Cnai" localSheetId="0">Stabilito!$O$19</definedName>
    <definedName name="Cnai0">Stabilito!$P$19</definedName>
    <definedName name="Cnail" localSheetId="0">Stabilito!$O$20</definedName>
    <definedName name="Cnc" localSheetId="0">Stabilito!$O$21</definedName>
    <definedName name="Cni" localSheetId="0">Stabilito!$O$22</definedName>
    <definedName name="Cni0">Stabilito!$P$22</definedName>
    <definedName name="Cnj" localSheetId="0">Stabilito!$O$23</definedName>
    <definedName name="Cno" localSheetId="0">Stabilito!$O$18</definedName>
    <definedName name="Cnr" localSheetId="0">Stabilito!$O$24</definedName>
    <definedName name="Combustion">Propu!$X$2</definedName>
    <definedName name="CritCnmax" localSheetId="0">Stabilito!$J$28</definedName>
    <definedName name="CritCnmin" localSheetId="0">Stabilito!$G$28</definedName>
    <definedName name="CritFinessemax" localSheetId="0">Stabilito!$J$27</definedName>
    <definedName name="CritFinessemin" localSheetId="0">Stabilito!$G$27</definedName>
    <definedName name="CritMsCnmax" localSheetId="0">Stabilito!$J$30</definedName>
    <definedName name="CritMsCnmin" localSheetId="0">Stabilito!$G$30</definedName>
    <definedName name="CritMsmax" localSheetId="0">Stabilito!$J$29</definedName>
    <definedName name="CritMsmin" localSheetId="0">Stabilito!$G$29</definedName>
    <definedName name="Cx">Trajecto!$C$16</definedName>
    <definedName name="Cx_para">Trajecto!$C$30</definedName>
    <definedName name="Cx_satellite">Trajecto!$D$30</definedName>
    <definedName name="D_ail">Stabilito!$C$35</definedName>
    <definedName name="D_can" localSheetId="0">Stabilito!$D$35</definedName>
    <definedName name="D_int" localSheetId="0">Stabilito!$E$34</definedName>
    <definedName name="D_og">Stabilito!$C$24</definedName>
    <definedName name="D_ref">Stabilito!$C$15</definedName>
    <definedName name="D_var">Abaco!$B$43:$B$69</definedName>
    <definedName name="D1j">Stabilito!$M$7</definedName>
    <definedName name="D1r">Stabilito!$O$7</definedName>
    <definedName name="D2j">Stabilito!$M$8</definedName>
    <definedName name="D2r">Stabilito!$O$8</definedName>
    <definedName name="Débit">Calculs!$R$4:$R$1004</definedName>
    <definedName name="Depotage">Propu!$Z$2</definedName>
    <definedName name="Diam_propu">Propu!$T$2</definedName>
    <definedName name="Dt_para">Trajecto!$C$33</definedName>
    <definedName name="Dt_satellite">Trajecto!$D$33</definedName>
    <definedName name="Dx_para">Trajecto!$C$35</definedName>
    <definedName name="Dx_sat">Trajecto!$D$35</definedName>
    <definedName name="E_ail">Stabilito!$C$31</definedName>
    <definedName name="E_can">Stabilito!$D$31</definedName>
    <definedName name="E_int" localSheetId="0">Stabilito!$E$30</definedName>
    <definedName name="ep_ail">Stabilito!$C$32</definedName>
    <definedName name="ep_can">Stabilito!$D$32</definedName>
    <definedName name="ep_int" localSheetId="0">Stabilito!$E$31</definedName>
    <definedName name="Event">Calculs!$Y$4:$Y$1004</definedName>
    <definedName name="Event_para">Calculs!$Z$4:$Z$1004</definedName>
    <definedName name="Event_sat">Calculs!$AA$4:$AA$1004</definedName>
    <definedName name="f_ail" localSheetId="0">Stabilito!$C$36</definedName>
    <definedName name="f_can" localSheetId="0">Stabilito!$D$36</definedName>
    <definedName name="f_int" localSheetId="0">Stabilito!$E$35</definedName>
    <definedName name="Finesse">Stabilito!$H$27</definedName>
    <definedName name="Forme_ogive">Stabilito!$C$22</definedName>
    <definedName name="g">Info!$E$54</definedName>
    <definedName name="i_P">Calculs!$P$4:$P$1004</definedName>
    <definedName name="I_total">Propu!$D$2</definedName>
    <definedName name="ISP">Propu!$F$2</definedName>
    <definedName name="l_j">Stabilito!$M$6</definedName>
    <definedName name="l_r">Stabilito!$O$6</definedName>
    <definedName name="L_rampe">Trajecto!$C$19</definedName>
    <definedName name="Lang">Stabilito!$M$2</definedName>
    <definedName name="Liste_µfu">Propu!$F$317:$F$346</definedName>
    <definedName name="Liste_fusex">Propu!$R$317:$R$346</definedName>
    <definedName name="Liste_H2O">Propu!$C$317:$D$346</definedName>
    <definedName name="Liste_minif">Propu!$L$317:$M$346</definedName>
    <definedName name="Liste_minifT">Propu!$O$317:$O$346</definedName>
    <definedName name="Liste_propu">Propu!$A$317:$A$324</definedName>
    <definedName name="Liste_RC">Propu!$I$317:$J$346</definedName>
    <definedName name="Liste_Type_para">Trajecto!$I$104:$I$106</definedName>
    <definedName name="Long_ogive">Stabilito!$C$23</definedName>
    <definedName name="Long_propu">Propu!$R$2</definedName>
    <definedName name="Long_tot">Stabilito!$C$14</definedName>
    <definedName name="m">Calculs!$S$4:$S$1004</definedName>
    <definedName name="m_ail">Stabilito!$C$28</definedName>
    <definedName name="m_bal">Abaco!$F$43:$F$69</definedName>
    <definedName name="m_can">Stabilito!$D$28</definedName>
    <definedName name="m_int" localSheetId="0">Stabilito!$E$27</definedName>
    <definedName name="m_poudre">Propu!$J$2</definedName>
    <definedName name="m_prop">Abaco!$E$43:$E$69</definedName>
    <definedName name="m_satellite">Trajecto!$D$25</definedName>
    <definedName name="m_tot">Trajecto!$C$11</definedName>
    <definedName name="m_var">Abaco!$D$43:$D$69</definedName>
    <definedName name="m_vide">Trajecto!$C$25</definedName>
    <definedName name="Masse_ail">Controle!$H$63</definedName>
    <definedName name="MassePlein">Stabilito!$M$14</definedName>
    <definedName name="MasseSans">Stabilito!$P$14</definedName>
    <definedName name="MasseVide">Stabilito!$N$14</definedName>
    <definedName name="Matricule">Stabilito!$E$10</definedName>
    <definedName name="Menu_Empennage">Stabilito!$B$111:$B$112</definedName>
    <definedName name="Menu_Lang">Stabilito!$B$94:$B$95</definedName>
    <definedName name="Menu_Ogive">Stabilito!$B$107:$B$109</definedName>
    <definedName name="Menu_sat">Trajecto!$B$105:$B$106</definedName>
    <definedName name="Menu_Transitions">Stabilito!$B$114:$B$115</definedName>
    <definedName name="Menu_Type">Stabilito!$B$97:$B$100</definedName>
    <definedName name="Menu_with_motor">Stabilito!$B$103:$B$105</definedName>
    <definedName name="MpropuPlein">Propu!$H$2</definedName>
    <definedName name="MpropuVide">Propu!$L$2</definedName>
    <definedName name="MS_Cn_max">Stabilito!$I$30</definedName>
    <definedName name="MS_Cn_max0">Stabilito!#REF!</definedName>
    <definedName name="MS_Cn_min">Stabilito!$H$30</definedName>
    <definedName name="MS_Cn_min0">Stabilito!#REF!</definedName>
    <definedName name="MS_max">Stabilito!$I$29</definedName>
    <definedName name="MS_max0">Stabilito!#REF!</definedName>
    <definedName name="MS_min">Stabilito!$H$29</definedName>
    <definedName name="MS_min0">Stabilito!#REF!</definedName>
    <definedName name="n_ail">Stabilito!$C$29</definedName>
    <definedName name="n_can">Stabilito!$D$29</definedName>
    <definedName name="n_int" localSheetId="0">Stabilito!$E$28</definedName>
    <definedName name="Nb_diam">Stabilito!$M$4</definedName>
    <definedName name="Nb_sat">Trajecto!$D$24</definedName>
    <definedName name="Nom">Stabilito!$C$8</definedName>
    <definedName name="p_ail">Stabilito!$C$30</definedName>
    <definedName name="p_can">Stabilito!$D$30</definedName>
    <definedName name="p_int" localSheetId="0">Stabilito!$E$29</definedName>
    <definedName name="pas">Calculs!$A$4:$A$1004</definedName>
    <definedName name="Poids">Calculs!$T$4:$T$1004</definedName>
    <definedName name="Portee_balistique">Trajecto!$J$29</definedName>
    <definedName name="pos_x">Calculs!$J$4:$J$1004</definedName>
    <definedName name="pos_xz">Calculs!$L$4:$L$1004</definedName>
    <definedName name="pos_z">Calculs!$K$4:$K$1004</definedName>
    <definedName name="pos_z_montant">Calculs!$AE$4:$AE$1004</definedName>
    <definedName name="Poussee">Calculs!$Q$4:$Q$1004</definedName>
    <definedName name="Propu">Stabilito!$C$18</definedName>
    <definedName name="Q_ail">Stabilito!$C$33</definedName>
    <definedName name="Q_can">Stabilito!$D$33</definedName>
    <definedName name="Q_int" localSheetId="0">Stabilito!$E$32</definedName>
    <definedName name="Q_var">Abaco!$C$43:$C$69</definedName>
    <definedName name="R_rampe">Calculs!$U$4:$U$1004</definedName>
    <definedName name="Rho">Calculs!$V$4:$V$1004</definedName>
    <definedName name="Rho_moyen">Info!$E$55</definedName>
    <definedName name="S_ail">Controle!$H$64</definedName>
    <definedName name="S_para">Trajecto!$C$29</definedName>
    <definedName name="S_para_croix">Trajecto!$B$48</definedName>
    <definedName name="S_para_rond">Trajecto!$B$56</definedName>
    <definedName name="S_satellite">Trajecto!$D$29</definedName>
    <definedName name="Sref">Trajecto!$C$15</definedName>
    <definedName name="sS">Trajecto!$F$136</definedName>
    <definedName name="t">Calculs!$B$4:$B$1004</definedName>
    <definedName name="T_balistique">Trajecto!$H$29</definedName>
    <definedName name="T_ini">Trajecto!$H$42</definedName>
    <definedName name="T_para">Trajecto!$C$114</definedName>
    <definedName name="T_satellite">Trajecto!$D$27</definedName>
    <definedName name="Temps_culmi">Trajecto!$H$27</definedName>
    <definedName name="Temps_fin_propu">Propu!$X$3</definedName>
    <definedName name="Trainee">Calculs!$W$4:$W$1004</definedName>
    <definedName name="tT_fus">Trajecto!$F$137</definedName>
    <definedName name="tT_sat">Trajecto!$F$154</definedName>
    <definedName name="Type_fusee">Stabilito!$C$11</definedName>
    <definedName name="Type_masquage" localSheetId="5">Stabilito!$C$27</definedName>
    <definedName name="Type_masquage" localSheetId="0">Stabilito!$C$27</definedName>
    <definedName name="Type_propu">Propu!$V$2</definedName>
    <definedName name="V_ini">Trajecto!$K$42</definedName>
    <definedName name="V_ouv_sat">Trajecto!$K$26</definedName>
    <definedName name="V_ouverture">Trajecto!$K$28</definedName>
    <definedName name="V_para">Trajecto!$C$32</definedName>
    <definedName name="V_prop">Abaco!$K$43:$K$69</definedName>
    <definedName name="V_satellite">Trajecto!$D$32</definedName>
    <definedName name="V_vent">Trajecto!$C$31</definedName>
    <definedName name="V_vent_sat">Trajecto!$D$31</definedName>
    <definedName name="Version" localSheetId="0">Stabilito!$Q$37</definedName>
    <definedName name="Version" localSheetId="1">Trajecto!$N$37</definedName>
    <definedName name="Vit_culmi">Trajecto!$K$27</definedName>
    <definedName name="Vit_max">Trajecto!$K$25</definedName>
    <definedName name="vit_x">Calculs!$G$4:$G$1004</definedName>
    <definedName name="vit_xz">Calculs!$I$4:$I$1004</definedName>
    <definedName name="vit_z">Calculs!$H$4:$H$1004</definedName>
    <definedName name="Vsortie_de_rampe">Trajecto!$K$24</definedName>
    <definedName name="X_ail">Stabilito!$C$34</definedName>
    <definedName name="X_can">Stabilito!$D$34</definedName>
    <definedName name="X_culmi">Trajecto!$J$27</definedName>
    <definedName name="X_ini">Trajecto!$J$42</definedName>
    <definedName name="X_int" localSheetId="0">Stabilito!$E$33</definedName>
    <definedName name="X_j">Stabilito!$M$9</definedName>
    <definedName name="X_para">Trajecto!$J$28</definedName>
    <definedName name="X_r">Stabilito!$O$9</definedName>
    <definedName name="X_satellite">Trajecto!$J$26</definedName>
    <definedName name="XcgPlein">Stabilito!$M$15</definedName>
    <definedName name="XcgSans">Stabilito!$P$15</definedName>
    <definedName name="XcgVide">Stabilito!$N$15</definedName>
    <definedName name="XCp" localSheetId="0">Stabilito!$H$31</definedName>
    <definedName name="XCp0">Stabilito!$I$31</definedName>
    <definedName name="XCpa" localSheetId="0">Stabilito!$M$20</definedName>
    <definedName name="XCpai" localSheetId="0">Stabilito!$M$19</definedName>
    <definedName name="XCpai0">Stabilito!$N$19</definedName>
    <definedName name="XCpc" localSheetId="0">Stabilito!$M$21</definedName>
    <definedName name="XCpi" localSheetId="0">Stabilito!$M$22</definedName>
    <definedName name="XCpi0">Stabilito!$N$22</definedName>
    <definedName name="XCpj" localSheetId="0">Stabilito!$M$23</definedName>
    <definedName name="XCpo" localSheetId="0">Stabilito!$M$18</definedName>
    <definedName name="XCpr" localSheetId="0">Stabilito!$M$24</definedName>
    <definedName name="XpropuPlein">Propu!$N$2</definedName>
    <definedName name="XpropuRef">Stabilito!$C$19</definedName>
    <definedName name="XpropuVide">Propu!$P$2</definedName>
    <definedName name="Z_ini">Trajecto!$I$42</definedName>
    <definedName name="_xlnm.Print_Area" localSheetId="5">Abaco!$A$1:$M$37</definedName>
    <definedName name="_xlnm.Print_Area" localSheetId="2">Courbes!$A$1:$K$78</definedName>
    <definedName name="_xlnm.Print_Area" localSheetId="0">Stabilito!$A$1:$Q$37</definedName>
    <definedName name="_xlnm.Print_Area" localSheetId="1">Trajecto!$A$1:$N$36</definedName>
    <definedName name="zZ_fus">Trajecto!$F$138</definedName>
    <definedName name="zZ_sat">Trajecto!$F$155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5" i="1" l="1"/>
  <c r="B43" i="1"/>
  <c r="C10" i="6"/>
  <c r="E10" i="6" s="1"/>
  <c r="C10" i="8" s="1"/>
  <c r="L324" i="4"/>
  <c r="L323" i="4"/>
  <c r="L322" i="4"/>
  <c r="L321" i="4"/>
  <c r="L320" i="4"/>
  <c r="L319" i="4"/>
  <c r="L318" i="4"/>
  <c r="L317" i="4"/>
  <c r="R319" i="4"/>
  <c r="R318" i="4"/>
  <c r="R317" i="4"/>
  <c r="R320" i="4"/>
  <c r="N294" i="4"/>
  <c r="X307" i="4"/>
  <c r="W307" i="4"/>
  <c r="V307" i="4"/>
  <c r="U307" i="4"/>
  <c r="T307" i="4"/>
  <c r="S307" i="4"/>
  <c r="R307" i="4"/>
  <c r="Q307" i="4"/>
  <c r="P307" i="4"/>
  <c r="O307" i="4"/>
  <c r="N307" i="4"/>
  <c r="M307" i="4"/>
  <c r="L307" i="4"/>
  <c r="K307" i="4"/>
  <c r="J307" i="4"/>
  <c r="I307" i="4"/>
  <c r="H307" i="4"/>
  <c r="G307" i="4"/>
  <c r="F307" i="4"/>
  <c r="E307" i="4"/>
  <c r="D307" i="4"/>
  <c r="C307" i="4"/>
  <c r="B307" i="4"/>
  <c r="J304" i="4"/>
  <c r="B304" i="4"/>
  <c r="O7" i="6"/>
  <c r="O8" i="6"/>
  <c r="K25" i="7" s="1"/>
  <c r="M7" i="6"/>
  <c r="C15" i="6"/>
  <c r="H6" i="7" s="1"/>
  <c r="C20" i="6"/>
  <c r="I321" i="4"/>
  <c r="I320" i="4"/>
  <c r="I319" i="4"/>
  <c r="I318" i="4"/>
  <c r="I317" i="4"/>
  <c r="X151" i="4"/>
  <c r="W151" i="4"/>
  <c r="V151" i="4"/>
  <c r="U151" i="4"/>
  <c r="T151" i="4"/>
  <c r="S151" i="4"/>
  <c r="R151" i="4"/>
  <c r="Q151" i="4"/>
  <c r="P151" i="4"/>
  <c r="O151" i="4"/>
  <c r="N151" i="4"/>
  <c r="M151" i="4"/>
  <c r="L151" i="4"/>
  <c r="K151" i="4"/>
  <c r="J151" i="4"/>
  <c r="I151" i="4"/>
  <c r="H151" i="4"/>
  <c r="G151" i="4"/>
  <c r="F151" i="4"/>
  <c r="E151" i="4"/>
  <c r="D151" i="4"/>
  <c r="C151" i="4"/>
  <c r="B151" i="4"/>
  <c r="J148" i="4"/>
  <c r="B148" i="4"/>
  <c r="D103" i="4"/>
  <c r="E103" i="4"/>
  <c r="F103" i="4"/>
  <c r="G103" i="4"/>
  <c r="H103" i="4"/>
  <c r="I103" i="4"/>
  <c r="J103" i="4"/>
  <c r="K103" i="4"/>
  <c r="L103" i="4"/>
  <c r="M103" i="4"/>
  <c r="N103" i="4"/>
  <c r="O103" i="4"/>
  <c r="P103" i="4"/>
  <c r="Q103" i="4"/>
  <c r="R103" i="4"/>
  <c r="S103" i="4"/>
  <c r="T103" i="4"/>
  <c r="U103" i="4"/>
  <c r="V103" i="4"/>
  <c r="W103" i="4"/>
  <c r="X103" i="4"/>
  <c r="S98" i="4"/>
  <c r="T98" i="4"/>
  <c r="U98" i="4"/>
  <c r="V98" i="4"/>
  <c r="W98" i="4"/>
  <c r="X98" i="4"/>
  <c r="D98" i="4"/>
  <c r="E98" i="4"/>
  <c r="F98" i="4"/>
  <c r="G98" i="4"/>
  <c r="H98" i="4"/>
  <c r="I98" i="4"/>
  <c r="J98" i="4"/>
  <c r="K98" i="4"/>
  <c r="L98" i="4"/>
  <c r="M98" i="4"/>
  <c r="N98" i="4"/>
  <c r="O98" i="4"/>
  <c r="P98" i="4"/>
  <c r="Q98" i="4"/>
  <c r="R98" i="4"/>
  <c r="C103" i="4"/>
  <c r="C98" i="4"/>
  <c r="X104" i="4"/>
  <c r="W104" i="4"/>
  <c r="V104" i="4"/>
  <c r="U104" i="4"/>
  <c r="T105" i="4" s="1"/>
  <c r="T104" i="4"/>
  <c r="S104" i="4"/>
  <c r="R104" i="4"/>
  <c r="Q104" i="4"/>
  <c r="P104" i="4"/>
  <c r="O104" i="4"/>
  <c r="N105" i="4" s="1"/>
  <c r="N104" i="4"/>
  <c r="M104" i="4"/>
  <c r="L104" i="4"/>
  <c r="K104" i="4"/>
  <c r="J104" i="4"/>
  <c r="I105" i="4" s="1"/>
  <c r="I104" i="4"/>
  <c r="H104" i="4"/>
  <c r="G104" i="4"/>
  <c r="G105" i="4" s="1"/>
  <c r="F104" i="4"/>
  <c r="E104" i="4"/>
  <c r="E105" i="4" s="1"/>
  <c r="D104" i="4"/>
  <c r="C104" i="4"/>
  <c r="B104" i="4"/>
  <c r="L102" i="4"/>
  <c r="H102" i="4"/>
  <c r="B102" i="4"/>
  <c r="X99" i="4"/>
  <c r="W99" i="4"/>
  <c r="V99" i="4"/>
  <c r="U99" i="4"/>
  <c r="T99" i="4"/>
  <c r="S99" i="4"/>
  <c r="R100" i="4" s="1"/>
  <c r="R99" i="4"/>
  <c r="Q99" i="4"/>
  <c r="P99" i="4"/>
  <c r="P100" i="4" s="1"/>
  <c r="O99" i="4"/>
  <c r="N99" i="4"/>
  <c r="M99" i="4"/>
  <c r="L99" i="4"/>
  <c r="K99" i="4"/>
  <c r="J99" i="4"/>
  <c r="J100" i="4" s="1"/>
  <c r="I99" i="4"/>
  <c r="H99" i="4"/>
  <c r="G99" i="4"/>
  <c r="F99" i="4"/>
  <c r="E100" i="4"/>
  <c r="E99" i="4"/>
  <c r="D99" i="4"/>
  <c r="C99" i="4"/>
  <c r="B99" i="4"/>
  <c r="L97" i="4"/>
  <c r="H97" i="4"/>
  <c r="B97" i="4"/>
  <c r="X95" i="4"/>
  <c r="W95" i="4"/>
  <c r="V95" i="4"/>
  <c r="U95" i="4"/>
  <c r="T95" i="4"/>
  <c r="S95" i="4"/>
  <c r="R95" i="4"/>
  <c r="Q95" i="4"/>
  <c r="P95" i="4"/>
  <c r="O95" i="4"/>
  <c r="N95" i="4"/>
  <c r="M95" i="4"/>
  <c r="L95" i="4"/>
  <c r="K95" i="4"/>
  <c r="J95" i="4"/>
  <c r="I95" i="4"/>
  <c r="H95" i="4"/>
  <c r="D92" i="4" s="1"/>
  <c r="F92" i="4" s="1"/>
  <c r="G95" i="4"/>
  <c r="F95" i="4"/>
  <c r="E95" i="4"/>
  <c r="D95" i="4"/>
  <c r="C95" i="4"/>
  <c r="B95" i="4"/>
  <c r="J92" i="4"/>
  <c r="B92" i="4"/>
  <c r="O344" i="4"/>
  <c r="O343" i="4"/>
  <c r="O342" i="4"/>
  <c r="O341" i="4"/>
  <c r="Q206" i="4"/>
  <c r="P206" i="4"/>
  <c r="O206" i="4"/>
  <c r="N206" i="4"/>
  <c r="M206" i="4"/>
  <c r="L206" i="4"/>
  <c r="K206" i="4"/>
  <c r="J206" i="4"/>
  <c r="I206" i="4"/>
  <c r="H206" i="4"/>
  <c r="G206" i="4"/>
  <c r="F206" i="4"/>
  <c r="E206" i="4"/>
  <c r="D206" i="4"/>
  <c r="C206" i="4"/>
  <c r="B206" i="4"/>
  <c r="J203" i="4"/>
  <c r="B203" i="4"/>
  <c r="E5" i="7"/>
  <c r="H7" i="7"/>
  <c r="E7" i="7"/>
  <c r="E6" i="7"/>
  <c r="H9" i="7"/>
  <c r="K26" i="7"/>
  <c r="K23" i="7"/>
  <c r="J26" i="7"/>
  <c r="J25" i="7"/>
  <c r="J23" i="7"/>
  <c r="G27" i="7"/>
  <c r="G26" i="7"/>
  <c r="F26" i="7"/>
  <c r="G25" i="7"/>
  <c r="F25" i="7"/>
  <c r="G24" i="7"/>
  <c r="F24" i="7"/>
  <c r="G23" i="7"/>
  <c r="F23" i="7"/>
  <c r="D27" i="7"/>
  <c r="D24" i="7"/>
  <c r="B32" i="6"/>
  <c r="B31" i="6"/>
  <c r="B30" i="6"/>
  <c r="B29" i="6"/>
  <c r="B28" i="6"/>
  <c r="B36" i="6"/>
  <c r="B35" i="6"/>
  <c r="B34" i="6"/>
  <c r="B33" i="6"/>
  <c r="U35" i="7"/>
  <c r="U34" i="7"/>
  <c r="U33" i="7"/>
  <c r="U32" i="7"/>
  <c r="U31" i="7"/>
  <c r="U30" i="7"/>
  <c r="P32" i="7"/>
  <c r="P31" i="7"/>
  <c r="Q34" i="7"/>
  <c r="P29" i="7"/>
  <c r="U20" i="7"/>
  <c r="Q17" i="7"/>
  <c r="U16" i="7"/>
  <c r="U13" i="7"/>
  <c r="Q12" i="7"/>
  <c r="U11" i="7"/>
  <c r="Q3" i="7"/>
  <c r="E17" i="7"/>
  <c r="E16" i="7"/>
  <c r="E15" i="7"/>
  <c r="E13" i="7"/>
  <c r="B53" i="1"/>
  <c r="B51" i="1"/>
  <c r="B56" i="1"/>
  <c r="D29" i="1"/>
  <c r="I69" i="7" s="1"/>
  <c r="D25" i="1"/>
  <c r="E30" i="1" s="1"/>
  <c r="C19" i="1"/>
  <c r="H8" i="7" s="1"/>
  <c r="C161" i="6"/>
  <c r="C162" i="6"/>
  <c r="C160" i="6"/>
  <c r="C159" i="6"/>
  <c r="C158" i="6"/>
  <c r="C26" i="6"/>
  <c r="M21" i="6"/>
  <c r="C34" i="6"/>
  <c r="C140" i="6" s="1"/>
  <c r="C19" i="6"/>
  <c r="D25" i="7" s="1"/>
  <c r="F110" i="1"/>
  <c r="C114" i="1" s="1"/>
  <c r="C155" i="1"/>
  <c r="C153" i="1"/>
  <c r="C151" i="1"/>
  <c r="N35" i="1"/>
  <c r="C134" i="1"/>
  <c r="B26" i="1"/>
  <c r="J30" i="6"/>
  <c r="E191" i="6" s="1"/>
  <c r="G30" i="6"/>
  <c r="E182" i="6" s="1"/>
  <c r="J29" i="6"/>
  <c r="B188" i="6" s="1"/>
  <c r="G29" i="6"/>
  <c r="J28" i="6"/>
  <c r="C185" i="6" s="1"/>
  <c r="J27" i="6"/>
  <c r="G28" i="6"/>
  <c r="G27" i="6"/>
  <c r="W35" i="6"/>
  <c r="B100" i="6"/>
  <c r="B98" i="6"/>
  <c r="B99" i="6"/>
  <c r="Q241" i="4"/>
  <c r="P241" i="4"/>
  <c r="O241" i="4"/>
  <c r="N241" i="4"/>
  <c r="M241" i="4"/>
  <c r="L241" i="4"/>
  <c r="K241" i="4"/>
  <c r="J241" i="4"/>
  <c r="I241" i="4"/>
  <c r="H241" i="4"/>
  <c r="G241" i="4"/>
  <c r="F241" i="4"/>
  <c r="E241" i="4"/>
  <c r="D241" i="4"/>
  <c r="C241" i="4"/>
  <c r="B241" i="4"/>
  <c r="S240" i="4"/>
  <c r="T240" i="4" s="1"/>
  <c r="U240" i="4" s="1"/>
  <c r="V240" i="4" s="1"/>
  <c r="W240" i="4" s="1"/>
  <c r="S239" i="4"/>
  <c r="T239" i="4" s="1"/>
  <c r="J238" i="4"/>
  <c r="B238" i="4"/>
  <c r="O321" i="4"/>
  <c r="O320" i="4"/>
  <c r="S131" i="4"/>
  <c r="R131" i="4"/>
  <c r="Q131" i="4"/>
  <c r="P131" i="4"/>
  <c r="O131" i="4"/>
  <c r="N131" i="4"/>
  <c r="M131" i="4"/>
  <c r="L131" i="4"/>
  <c r="K131" i="4"/>
  <c r="J131" i="4"/>
  <c r="I131" i="4"/>
  <c r="H131" i="4"/>
  <c r="G131" i="4"/>
  <c r="F131" i="4"/>
  <c r="E131" i="4"/>
  <c r="D131" i="4"/>
  <c r="C131" i="4"/>
  <c r="B131" i="4"/>
  <c r="V130" i="4"/>
  <c r="U131" i="4" s="1"/>
  <c r="T131" i="4"/>
  <c r="J128" i="4"/>
  <c r="B128" i="4"/>
  <c r="R126" i="4"/>
  <c r="Q126" i="4"/>
  <c r="P126" i="4"/>
  <c r="O126" i="4"/>
  <c r="N126" i="4"/>
  <c r="M126" i="4"/>
  <c r="L126" i="4"/>
  <c r="K126" i="4"/>
  <c r="J126" i="4"/>
  <c r="I126" i="4"/>
  <c r="H126" i="4"/>
  <c r="G126" i="4"/>
  <c r="F126" i="4"/>
  <c r="E126" i="4"/>
  <c r="D126" i="4"/>
  <c r="C126" i="4"/>
  <c r="B126" i="4"/>
  <c r="T125" i="4"/>
  <c r="S126" i="4" s="1"/>
  <c r="J123" i="4"/>
  <c r="B123" i="4"/>
  <c r="O340" i="4"/>
  <c r="T256" i="4"/>
  <c r="S256" i="4"/>
  <c r="R256" i="4"/>
  <c r="Q256" i="4"/>
  <c r="P256" i="4"/>
  <c r="O256" i="4"/>
  <c r="N256" i="4"/>
  <c r="M256" i="4"/>
  <c r="L256" i="4"/>
  <c r="K256" i="4"/>
  <c r="J256" i="4"/>
  <c r="I256" i="4"/>
  <c r="H256" i="4"/>
  <c r="G256" i="4"/>
  <c r="F256" i="4"/>
  <c r="E256" i="4"/>
  <c r="D256" i="4"/>
  <c r="C256" i="4"/>
  <c r="B256" i="4"/>
  <c r="V255" i="4"/>
  <c r="W255" i="4" s="1"/>
  <c r="V254" i="4"/>
  <c r="W254" i="4" s="1"/>
  <c r="X254" i="4" s="1"/>
  <c r="J253" i="4"/>
  <c r="B253" i="4"/>
  <c r="O337" i="4"/>
  <c r="Q236" i="4"/>
  <c r="P236" i="4"/>
  <c r="O236" i="4"/>
  <c r="N236" i="4"/>
  <c r="M236" i="4"/>
  <c r="L236" i="4"/>
  <c r="K236" i="4"/>
  <c r="J236" i="4"/>
  <c r="I236" i="4"/>
  <c r="H236" i="4"/>
  <c r="G236" i="4"/>
  <c r="F236" i="4"/>
  <c r="E236" i="4"/>
  <c r="D236" i="4"/>
  <c r="C236" i="4"/>
  <c r="B236" i="4"/>
  <c r="S235" i="4"/>
  <c r="T235" i="4" s="1"/>
  <c r="S234" i="4"/>
  <c r="R236" i="4" s="1"/>
  <c r="J233" i="4"/>
  <c r="B233" i="4"/>
  <c r="O346" i="4"/>
  <c r="Q211" i="4"/>
  <c r="P211" i="4"/>
  <c r="O211" i="4"/>
  <c r="N211" i="4"/>
  <c r="M211" i="4"/>
  <c r="L211" i="4"/>
  <c r="K211" i="4"/>
  <c r="J211" i="4"/>
  <c r="I211" i="4"/>
  <c r="H211" i="4"/>
  <c r="G211" i="4"/>
  <c r="F211" i="4"/>
  <c r="E211" i="4"/>
  <c r="D211" i="4"/>
  <c r="C211" i="4"/>
  <c r="B211" i="4"/>
  <c r="S211" i="4"/>
  <c r="R211" i="4"/>
  <c r="J208" i="4"/>
  <c r="B208" i="4"/>
  <c r="O336" i="4"/>
  <c r="O335" i="4"/>
  <c r="O334" i="4"/>
  <c r="O333" i="4"/>
  <c r="O338" i="4"/>
  <c r="O339" i="4"/>
  <c r="O345" i="4"/>
  <c r="O323" i="4"/>
  <c r="O324" i="4"/>
  <c r="O325" i="4"/>
  <c r="O326" i="4"/>
  <c r="O327" i="4"/>
  <c r="O319" i="4"/>
  <c r="O322" i="4"/>
  <c r="O328" i="4"/>
  <c r="O329" i="4"/>
  <c r="O330" i="4"/>
  <c r="O331" i="4"/>
  <c r="O332" i="4"/>
  <c r="O318" i="4"/>
  <c r="O317" i="4"/>
  <c r="X231" i="4"/>
  <c r="W231" i="4"/>
  <c r="V231" i="4"/>
  <c r="U231" i="4"/>
  <c r="T231" i="4"/>
  <c r="S231" i="4"/>
  <c r="R231" i="4"/>
  <c r="Q231" i="4"/>
  <c r="P231" i="4"/>
  <c r="O231" i="4"/>
  <c r="N231" i="4"/>
  <c r="M231" i="4"/>
  <c r="L231" i="4"/>
  <c r="K231" i="4"/>
  <c r="J231" i="4"/>
  <c r="I231" i="4"/>
  <c r="H231" i="4"/>
  <c r="G231" i="4"/>
  <c r="D228" i="4" s="1"/>
  <c r="F228" i="4" s="1"/>
  <c r="F231" i="4"/>
  <c r="E231" i="4"/>
  <c r="D231" i="4"/>
  <c r="C231" i="4"/>
  <c r="B231" i="4"/>
  <c r="J228" i="4"/>
  <c r="B228" i="4"/>
  <c r="Q226" i="4"/>
  <c r="P226" i="4"/>
  <c r="O226" i="4"/>
  <c r="N226" i="4"/>
  <c r="M226" i="4"/>
  <c r="L226" i="4"/>
  <c r="K226" i="4"/>
  <c r="J226" i="4"/>
  <c r="I226" i="4"/>
  <c r="H226" i="4"/>
  <c r="G226" i="4"/>
  <c r="F226" i="4"/>
  <c r="E226" i="4"/>
  <c r="D226" i="4"/>
  <c r="C226" i="4"/>
  <c r="B226" i="4"/>
  <c r="T225" i="4"/>
  <c r="U225" i="4" s="1"/>
  <c r="R226" i="4"/>
  <c r="T224" i="4"/>
  <c r="U224" i="4" s="1"/>
  <c r="V224" i="4" s="1"/>
  <c r="W224" i="4" s="1"/>
  <c r="J223" i="4"/>
  <c r="B223" i="4"/>
  <c r="V249" i="4"/>
  <c r="W249" i="4" s="1"/>
  <c r="W244" i="4"/>
  <c r="Q251" i="4"/>
  <c r="P251" i="4"/>
  <c r="O251" i="4"/>
  <c r="N251" i="4"/>
  <c r="M251" i="4"/>
  <c r="L251" i="4"/>
  <c r="K251" i="4"/>
  <c r="J251" i="4"/>
  <c r="I251" i="4"/>
  <c r="H251" i="4"/>
  <c r="G251" i="4"/>
  <c r="F251" i="4"/>
  <c r="E251" i="4"/>
  <c r="D251" i="4"/>
  <c r="C251" i="4"/>
  <c r="B251" i="4"/>
  <c r="J248" i="4"/>
  <c r="B248" i="4"/>
  <c r="J246" i="4"/>
  <c r="I246" i="4"/>
  <c r="H246" i="4"/>
  <c r="G246" i="4"/>
  <c r="F246" i="4"/>
  <c r="E246" i="4"/>
  <c r="D246" i="4"/>
  <c r="C246" i="4"/>
  <c r="B246" i="4"/>
  <c r="J243" i="4"/>
  <c r="B243" i="4"/>
  <c r="L194" i="4"/>
  <c r="M194" i="4" s="1"/>
  <c r="R334" i="4"/>
  <c r="R335" i="4"/>
  <c r="R336" i="4"/>
  <c r="R337" i="4"/>
  <c r="R338" i="4"/>
  <c r="R339" i="4"/>
  <c r="S195" i="4"/>
  <c r="T195" i="4"/>
  <c r="U195" i="4" s="1"/>
  <c r="V195" i="4" s="1"/>
  <c r="W195" i="4" s="1"/>
  <c r="X195" i="4" s="1"/>
  <c r="X196" i="4" s="1"/>
  <c r="J196" i="4"/>
  <c r="I196" i="4"/>
  <c r="H196" i="4"/>
  <c r="G196" i="4"/>
  <c r="F196" i="4"/>
  <c r="E196" i="4"/>
  <c r="D196" i="4"/>
  <c r="C196" i="4"/>
  <c r="B196" i="4"/>
  <c r="J193" i="4"/>
  <c r="B193" i="4"/>
  <c r="S200" i="4"/>
  <c r="T200" i="4" s="1"/>
  <c r="S199" i="4"/>
  <c r="T199" i="4" s="1"/>
  <c r="U199" i="4" s="1"/>
  <c r="V199" i="4" s="1"/>
  <c r="W199" i="4" s="1"/>
  <c r="X199" i="4" s="1"/>
  <c r="Q201" i="4"/>
  <c r="P201" i="4"/>
  <c r="O201" i="4"/>
  <c r="N201" i="4"/>
  <c r="M201" i="4"/>
  <c r="L201" i="4"/>
  <c r="K201" i="4"/>
  <c r="J201" i="4"/>
  <c r="I201" i="4"/>
  <c r="H201" i="4"/>
  <c r="G201" i="4"/>
  <c r="F201" i="4"/>
  <c r="E201" i="4"/>
  <c r="D201" i="4"/>
  <c r="C201" i="4"/>
  <c r="B201" i="4"/>
  <c r="J198" i="4"/>
  <c r="B198" i="4"/>
  <c r="B213" i="4"/>
  <c r="B216" i="4"/>
  <c r="C216" i="4"/>
  <c r="D216" i="4"/>
  <c r="E216" i="4"/>
  <c r="F216" i="4"/>
  <c r="G216" i="4"/>
  <c r="H216" i="4"/>
  <c r="I216" i="4"/>
  <c r="J216" i="4"/>
  <c r="K216" i="4"/>
  <c r="L216" i="4"/>
  <c r="M216" i="4"/>
  <c r="N216" i="4"/>
  <c r="O216" i="4"/>
  <c r="P216" i="4"/>
  <c r="Q216" i="4"/>
  <c r="S215" i="4"/>
  <c r="T215" i="4" s="1"/>
  <c r="S214" i="4"/>
  <c r="J213" i="4"/>
  <c r="A2" i="4"/>
  <c r="B133" i="4"/>
  <c r="B4" i="3"/>
  <c r="AC4" i="3" s="1"/>
  <c r="B136" i="4"/>
  <c r="C136" i="4"/>
  <c r="D136" i="4"/>
  <c r="D133" i="4" s="1"/>
  <c r="F133" i="4" s="1"/>
  <c r="E136" i="4"/>
  <c r="F136" i="4"/>
  <c r="G136" i="4"/>
  <c r="H136" i="4"/>
  <c r="I136" i="4"/>
  <c r="J136" i="4"/>
  <c r="K136" i="4"/>
  <c r="L136" i="4"/>
  <c r="M136" i="4"/>
  <c r="N136" i="4"/>
  <c r="O136" i="4"/>
  <c r="P136" i="4"/>
  <c r="Q136" i="4"/>
  <c r="R136" i="4"/>
  <c r="S136" i="4"/>
  <c r="T136" i="4"/>
  <c r="U136" i="4"/>
  <c r="V136" i="4"/>
  <c r="W136" i="4"/>
  <c r="X136" i="4"/>
  <c r="J133" i="4"/>
  <c r="N4" i="3"/>
  <c r="M4" i="3" s="1"/>
  <c r="J4" i="3"/>
  <c r="K4" i="3"/>
  <c r="V4" i="3" s="1"/>
  <c r="I4" i="3"/>
  <c r="B113" i="4"/>
  <c r="C36" i="6"/>
  <c r="M18" i="6"/>
  <c r="B116" i="4"/>
  <c r="C116" i="4"/>
  <c r="D116" i="4"/>
  <c r="E116" i="4"/>
  <c r="F116" i="4"/>
  <c r="G116" i="4"/>
  <c r="H116" i="4"/>
  <c r="I116" i="4"/>
  <c r="J116" i="4"/>
  <c r="K116" i="4"/>
  <c r="L116" i="4"/>
  <c r="M116" i="4"/>
  <c r="N116" i="4"/>
  <c r="O116" i="4"/>
  <c r="P116" i="4"/>
  <c r="Q116" i="4"/>
  <c r="R116" i="4"/>
  <c r="S116" i="4"/>
  <c r="U115" i="4"/>
  <c r="T116" i="4" s="1"/>
  <c r="J113" i="4"/>
  <c r="B166" i="4"/>
  <c r="C166" i="4"/>
  <c r="D166" i="4"/>
  <c r="E166" i="4"/>
  <c r="F166" i="4"/>
  <c r="G166" i="4"/>
  <c r="H166" i="4"/>
  <c r="I166" i="4"/>
  <c r="J166" i="4"/>
  <c r="K166" i="4"/>
  <c r="L166" i="4"/>
  <c r="M166" i="4"/>
  <c r="N166" i="4"/>
  <c r="O166" i="4"/>
  <c r="P166" i="4"/>
  <c r="Q166" i="4"/>
  <c r="R166" i="4"/>
  <c r="T165" i="4"/>
  <c r="S166" i="4" s="1"/>
  <c r="X164" i="4"/>
  <c r="L163" i="4"/>
  <c r="J163" i="4" s="1"/>
  <c r="B48" i="1"/>
  <c r="C29" i="1" s="1"/>
  <c r="E127" i="7" s="1"/>
  <c r="D31" i="1"/>
  <c r="B29" i="4"/>
  <c r="C29" i="4"/>
  <c r="D29" i="4"/>
  <c r="E29" i="4"/>
  <c r="F29" i="4"/>
  <c r="G29" i="4"/>
  <c r="H29" i="4"/>
  <c r="I29" i="4"/>
  <c r="J29" i="4"/>
  <c r="K29" i="4"/>
  <c r="L29" i="4"/>
  <c r="M29" i="4"/>
  <c r="N29" i="4"/>
  <c r="O29" i="4"/>
  <c r="P29" i="4"/>
  <c r="Q29" i="4"/>
  <c r="R29" i="4"/>
  <c r="S29" i="4"/>
  <c r="T29" i="4"/>
  <c r="U29" i="4"/>
  <c r="V29" i="4"/>
  <c r="W29" i="4"/>
  <c r="X29" i="4"/>
  <c r="J26" i="4"/>
  <c r="B34" i="4"/>
  <c r="C34" i="4"/>
  <c r="D34" i="4"/>
  <c r="E34" i="4"/>
  <c r="F34" i="4"/>
  <c r="G34" i="4"/>
  <c r="H34" i="4"/>
  <c r="I34" i="4"/>
  <c r="J34" i="4"/>
  <c r="K34" i="4"/>
  <c r="L34" i="4"/>
  <c r="M34" i="4"/>
  <c r="N34" i="4"/>
  <c r="O34" i="4"/>
  <c r="P34" i="4"/>
  <c r="Q34" i="4"/>
  <c r="R34" i="4"/>
  <c r="S34" i="4"/>
  <c r="T34" i="4"/>
  <c r="U34" i="4"/>
  <c r="V34" i="4"/>
  <c r="W34" i="4"/>
  <c r="X34" i="4"/>
  <c r="J31" i="4"/>
  <c r="B39" i="4"/>
  <c r="C39" i="4"/>
  <c r="D39" i="4"/>
  <c r="E39" i="4"/>
  <c r="F39" i="4"/>
  <c r="G39" i="4"/>
  <c r="H39" i="4"/>
  <c r="I39" i="4"/>
  <c r="J39" i="4"/>
  <c r="K39" i="4"/>
  <c r="L39" i="4"/>
  <c r="M39" i="4"/>
  <c r="N39" i="4"/>
  <c r="O39" i="4"/>
  <c r="P39" i="4"/>
  <c r="Q39" i="4"/>
  <c r="R39" i="4"/>
  <c r="S39" i="4"/>
  <c r="T39" i="4"/>
  <c r="U39" i="4"/>
  <c r="V39" i="4"/>
  <c r="W39" i="4"/>
  <c r="X39" i="4"/>
  <c r="J36" i="4"/>
  <c r="B44" i="4"/>
  <c r="C44" i="4"/>
  <c r="D44" i="4"/>
  <c r="E44" i="4"/>
  <c r="F44" i="4"/>
  <c r="G44" i="4"/>
  <c r="H44" i="4"/>
  <c r="I44" i="4"/>
  <c r="J44" i="4"/>
  <c r="K44" i="4"/>
  <c r="L44" i="4"/>
  <c r="M44" i="4"/>
  <c r="N44" i="4"/>
  <c r="O44" i="4"/>
  <c r="P44" i="4"/>
  <c r="Q44" i="4"/>
  <c r="R44" i="4"/>
  <c r="S44" i="4"/>
  <c r="T44" i="4"/>
  <c r="U44" i="4"/>
  <c r="V44" i="4"/>
  <c r="W44" i="4"/>
  <c r="X44" i="4"/>
  <c r="J41" i="4"/>
  <c r="B49" i="4"/>
  <c r="C49" i="4"/>
  <c r="D49" i="4"/>
  <c r="E49" i="4"/>
  <c r="F49" i="4"/>
  <c r="G49" i="4"/>
  <c r="H49" i="4"/>
  <c r="I49" i="4"/>
  <c r="J49" i="4"/>
  <c r="K49" i="4"/>
  <c r="L49" i="4"/>
  <c r="M49" i="4"/>
  <c r="N49" i="4"/>
  <c r="O49" i="4"/>
  <c r="P49" i="4"/>
  <c r="Q49" i="4"/>
  <c r="R49" i="4"/>
  <c r="S49" i="4"/>
  <c r="T49" i="4"/>
  <c r="U49" i="4"/>
  <c r="V49" i="4"/>
  <c r="W49" i="4"/>
  <c r="X49" i="4"/>
  <c r="J46" i="4"/>
  <c r="B54" i="4"/>
  <c r="C54" i="4"/>
  <c r="D54" i="4"/>
  <c r="E54" i="4"/>
  <c r="F54" i="4"/>
  <c r="G54" i="4"/>
  <c r="H54" i="4"/>
  <c r="I54" i="4"/>
  <c r="J54" i="4"/>
  <c r="K54" i="4"/>
  <c r="L54" i="4"/>
  <c r="M54" i="4"/>
  <c r="N54" i="4"/>
  <c r="O54" i="4"/>
  <c r="P54" i="4"/>
  <c r="Q54" i="4"/>
  <c r="D51" i="4" s="1"/>
  <c r="F51" i="4" s="1"/>
  <c r="R54" i="4"/>
  <c r="S54" i="4"/>
  <c r="T54" i="4"/>
  <c r="U54" i="4"/>
  <c r="V54" i="4"/>
  <c r="W54" i="4"/>
  <c r="X54" i="4"/>
  <c r="J51" i="4"/>
  <c r="B59" i="4"/>
  <c r="C59" i="4"/>
  <c r="D59" i="4"/>
  <c r="E59" i="4"/>
  <c r="F59" i="4"/>
  <c r="G59" i="4"/>
  <c r="H59" i="4"/>
  <c r="I59" i="4"/>
  <c r="J59" i="4"/>
  <c r="K59" i="4"/>
  <c r="L59" i="4"/>
  <c r="M59" i="4"/>
  <c r="N59" i="4"/>
  <c r="O59" i="4"/>
  <c r="P59" i="4"/>
  <c r="Q59" i="4"/>
  <c r="R59" i="4"/>
  <c r="S59" i="4"/>
  <c r="T59" i="4"/>
  <c r="U59" i="4"/>
  <c r="V59" i="4"/>
  <c r="W59" i="4"/>
  <c r="X59" i="4"/>
  <c r="D56" i="4" s="1"/>
  <c r="F56" i="4" s="1"/>
  <c r="J56" i="4"/>
  <c r="B64" i="4"/>
  <c r="C64" i="4"/>
  <c r="D64" i="4"/>
  <c r="E64" i="4"/>
  <c r="F64" i="4"/>
  <c r="G64" i="4"/>
  <c r="H64" i="4"/>
  <c r="I64" i="4"/>
  <c r="J64" i="4"/>
  <c r="K64" i="4"/>
  <c r="L64" i="4"/>
  <c r="M64" i="4"/>
  <c r="N64" i="4"/>
  <c r="O64" i="4"/>
  <c r="P64" i="4"/>
  <c r="Q64" i="4"/>
  <c r="R64" i="4"/>
  <c r="S64" i="4"/>
  <c r="T64" i="4"/>
  <c r="U64" i="4"/>
  <c r="V64" i="4"/>
  <c r="W64" i="4"/>
  <c r="X64" i="4"/>
  <c r="J61" i="4"/>
  <c r="B70" i="4"/>
  <c r="C70" i="4"/>
  <c r="D70" i="4"/>
  <c r="E70" i="4"/>
  <c r="F70" i="4"/>
  <c r="G70" i="4"/>
  <c r="H70" i="4"/>
  <c r="I70" i="4"/>
  <c r="J70" i="4"/>
  <c r="K70" i="4"/>
  <c r="L70" i="4"/>
  <c r="M70" i="4"/>
  <c r="N70" i="4"/>
  <c r="O70" i="4"/>
  <c r="P70" i="4"/>
  <c r="Q70" i="4"/>
  <c r="R70" i="4"/>
  <c r="S70" i="4"/>
  <c r="T70" i="4"/>
  <c r="U70" i="4"/>
  <c r="V70" i="4"/>
  <c r="W70" i="4"/>
  <c r="X70" i="4"/>
  <c r="J67" i="4"/>
  <c r="B75" i="4"/>
  <c r="C75" i="4"/>
  <c r="D75" i="4"/>
  <c r="E75" i="4"/>
  <c r="F75" i="4"/>
  <c r="G75" i="4"/>
  <c r="H75" i="4"/>
  <c r="I75" i="4"/>
  <c r="J75" i="4"/>
  <c r="K75" i="4"/>
  <c r="L75" i="4"/>
  <c r="M75" i="4"/>
  <c r="N75" i="4"/>
  <c r="O75" i="4"/>
  <c r="D72" i="4" s="1"/>
  <c r="F72" i="4" s="1"/>
  <c r="P75" i="4"/>
  <c r="Q75" i="4"/>
  <c r="R75" i="4"/>
  <c r="S75" i="4"/>
  <c r="T75" i="4"/>
  <c r="U75" i="4"/>
  <c r="V75" i="4"/>
  <c r="W75" i="4"/>
  <c r="X75" i="4"/>
  <c r="J72" i="4"/>
  <c r="B80" i="4"/>
  <c r="C80" i="4"/>
  <c r="D80" i="4"/>
  <c r="E80" i="4"/>
  <c r="F80" i="4"/>
  <c r="G80" i="4"/>
  <c r="H80" i="4"/>
  <c r="I80" i="4"/>
  <c r="J80" i="4"/>
  <c r="K80" i="4"/>
  <c r="L80" i="4"/>
  <c r="M80" i="4"/>
  <c r="N80" i="4"/>
  <c r="O80" i="4"/>
  <c r="P80" i="4"/>
  <c r="Q80" i="4"/>
  <c r="R80" i="4"/>
  <c r="S80" i="4"/>
  <c r="T80" i="4"/>
  <c r="U80" i="4"/>
  <c r="V80" i="4"/>
  <c r="W80" i="4"/>
  <c r="D77" i="4" s="1"/>
  <c r="F77" i="4" s="1"/>
  <c r="X80" i="4"/>
  <c r="J77" i="4"/>
  <c r="C84" i="4"/>
  <c r="B84" i="4"/>
  <c r="B85" i="4" s="1"/>
  <c r="D84" i="4"/>
  <c r="E84" i="4"/>
  <c r="F84" i="4"/>
  <c r="E85" i="4" s="1"/>
  <c r="G84" i="4"/>
  <c r="F85" i="4" s="1"/>
  <c r="H84" i="4"/>
  <c r="H85" i="4" s="1"/>
  <c r="I84" i="4"/>
  <c r="J84" i="4"/>
  <c r="K84" i="4"/>
  <c r="L84" i="4"/>
  <c r="L85" i="4" s="1"/>
  <c r="M84" i="4"/>
  <c r="N84" i="4"/>
  <c r="M85" i="4" s="1"/>
  <c r="O84" i="4"/>
  <c r="P84" i="4"/>
  <c r="Q84" i="4"/>
  <c r="P85" i="4" s="1"/>
  <c r="R84" i="4"/>
  <c r="S84" i="4"/>
  <c r="S85" i="4" s="1"/>
  <c r="T84" i="4"/>
  <c r="U84" i="4"/>
  <c r="V84" i="4"/>
  <c r="W84" i="4"/>
  <c r="V85" i="4" s="1"/>
  <c r="X84" i="4"/>
  <c r="W85" i="4" s="1"/>
  <c r="H82" i="4"/>
  <c r="L82" i="4"/>
  <c r="C89" i="4"/>
  <c r="B89" i="4"/>
  <c r="D89" i="4"/>
  <c r="D90" i="4" s="1"/>
  <c r="E89" i="4"/>
  <c r="F89" i="4"/>
  <c r="G89" i="4"/>
  <c r="F90" i="4" s="1"/>
  <c r="H89" i="4"/>
  <c r="I89" i="4"/>
  <c r="J89" i="4"/>
  <c r="J90" i="4" s="1"/>
  <c r="K89" i="4"/>
  <c r="L89" i="4"/>
  <c r="M89" i="4"/>
  <c r="N89" i="4"/>
  <c r="O89" i="4"/>
  <c r="O90" i="4" s="1"/>
  <c r="P89" i="4"/>
  <c r="Q89" i="4"/>
  <c r="R89" i="4"/>
  <c r="S89" i="4"/>
  <c r="R90" i="4" s="1"/>
  <c r="T89" i="4"/>
  <c r="U89" i="4"/>
  <c r="U90" i="4" s="1"/>
  <c r="V89" i="4"/>
  <c r="V90" i="4" s="1"/>
  <c r="W89" i="4"/>
  <c r="X89" i="4"/>
  <c r="X90" i="4" s="1"/>
  <c r="H87" i="4"/>
  <c r="L87" i="4"/>
  <c r="B111" i="4"/>
  <c r="C111" i="4"/>
  <c r="D111" i="4"/>
  <c r="E111" i="4"/>
  <c r="F111" i="4"/>
  <c r="G111" i="4"/>
  <c r="H111" i="4"/>
  <c r="I111" i="4"/>
  <c r="J111" i="4"/>
  <c r="K111" i="4"/>
  <c r="L111" i="4"/>
  <c r="M111" i="4"/>
  <c r="N111" i="4"/>
  <c r="O111" i="4"/>
  <c r="P111" i="4"/>
  <c r="Q111" i="4"/>
  <c r="R111" i="4"/>
  <c r="T110" i="4"/>
  <c r="S111" i="4" s="1"/>
  <c r="J108" i="4"/>
  <c r="B121" i="4"/>
  <c r="C121" i="4"/>
  <c r="D121" i="4"/>
  <c r="E121" i="4"/>
  <c r="F121" i="4"/>
  <c r="G121" i="4"/>
  <c r="H121" i="4"/>
  <c r="I121" i="4"/>
  <c r="J121" i="4"/>
  <c r="K121" i="4"/>
  <c r="L121" i="4"/>
  <c r="M121" i="4"/>
  <c r="N121" i="4"/>
  <c r="O121" i="4"/>
  <c r="P121" i="4"/>
  <c r="Q121" i="4"/>
  <c r="R121" i="4"/>
  <c r="T120" i="4"/>
  <c r="S121" i="4" s="1"/>
  <c r="J118" i="4"/>
  <c r="B141" i="4"/>
  <c r="D138" i="4" s="1"/>
  <c r="F138" i="4" s="1"/>
  <c r="C141" i="4"/>
  <c r="D141" i="4"/>
  <c r="E141" i="4"/>
  <c r="F141" i="4"/>
  <c r="G141" i="4"/>
  <c r="H141" i="4"/>
  <c r="I141" i="4"/>
  <c r="J141" i="4"/>
  <c r="K141" i="4"/>
  <c r="L141" i="4"/>
  <c r="M141" i="4"/>
  <c r="N141" i="4"/>
  <c r="O141" i="4"/>
  <c r="P141" i="4"/>
  <c r="Q141" i="4"/>
  <c r="R141" i="4"/>
  <c r="S141" i="4"/>
  <c r="T141" i="4"/>
  <c r="U141" i="4"/>
  <c r="V141" i="4"/>
  <c r="W141" i="4"/>
  <c r="X141" i="4"/>
  <c r="J138" i="4"/>
  <c r="B146" i="4"/>
  <c r="C146" i="4"/>
  <c r="D146" i="4"/>
  <c r="E146" i="4"/>
  <c r="F146" i="4"/>
  <c r="G146" i="4"/>
  <c r="H146" i="4"/>
  <c r="I146" i="4"/>
  <c r="J146" i="4"/>
  <c r="K146" i="4"/>
  <c r="L146" i="4"/>
  <c r="M146" i="4"/>
  <c r="N146" i="4"/>
  <c r="O146" i="4"/>
  <c r="P146" i="4"/>
  <c r="Q146" i="4"/>
  <c r="R146" i="4"/>
  <c r="S146" i="4"/>
  <c r="T146" i="4"/>
  <c r="U146" i="4"/>
  <c r="V146" i="4"/>
  <c r="W146" i="4"/>
  <c r="X146" i="4"/>
  <c r="J143" i="4"/>
  <c r="B156" i="4"/>
  <c r="C156" i="4"/>
  <c r="D156" i="4"/>
  <c r="E156" i="4"/>
  <c r="F156" i="4"/>
  <c r="G156" i="4"/>
  <c r="H156" i="4"/>
  <c r="I156" i="4"/>
  <c r="D153" i="4" s="1"/>
  <c r="F153" i="4" s="1"/>
  <c r="J156" i="4"/>
  <c r="K156" i="4"/>
  <c r="L156" i="4"/>
  <c r="M156" i="4"/>
  <c r="N156" i="4"/>
  <c r="O156" i="4"/>
  <c r="P156" i="4"/>
  <c r="Q156" i="4"/>
  <c r="R156" i="4"/>
  <c r="S156" i="4"/>
  <c r="T156" i="4"/>
  <c r="U156" i="4"/>
  <c r="V156" i="4"/>
  <c r="W156" i="4"/>
  <c r="X156" i="4"/>
  <c r="J153" i="4"/>
  <c r="B161" i="4"/>
  <c r="C161" i="4"/>
  <c r="D161" i="4"/>
  <c r="E161" i="4"/>
  <c r="F161" i="4"/>
  <c r="G161" i="4"/>
  <c r="H161" i="4"/>
  <c r="I161" i="4"/>
  <c r="J161" i="4"/>
  <c r="K161" i="4"/>
  <c r="L161" i="4"/>
  <c r="M161" i="4"/>
  <c r="N161" i="4"/>
  <c r="O161" i="4"/>
  <c r="P161" i="4"/>
  <c r="Q161" i="4"/>
  <c r="R161" i="4"/>
  <c r="S161" i="4"/>
  <c r="T161" i="4"/>
  <c r="U161" i="4"/>
  <c r="V161" i="4"/>
  <c r="W161" i="4"/>
  <c r="X161" i="4"/>
  <c r="J158" i="4"/>
  <c r="B171" i="4"/>
  <c r="C171" i="4"/>
  <c r="D171" i="4"/>
  <c r="E171" i="4"/>
  <c r="F171" i="4"/>
  <c r="G171" i="4"/>
  <c r="H171" i="4"/>
  <c r="I171" i="4"/>
  <c r="J171" i="4"/>
  <c r="K171" i="4"/>
  <c r="L171" i="4"/>
  <c r="M171" i="4"/>
  <c r="N171" i="4"/>
  <c r="O171" i="4"/>
  <c r="P171" i="4"/>
  <c r="Q171" i="4"/>
  <c r="R171" i="4"/>
  <c r="S171" i="4"/>
  <c r="T171" i="4"/>
  <c r="U171" i="4"/>
  <c r="V171" i="4"/>
  <c r="W171" i="4"/>
  <c r="X171" i="4"/>
  <c r="J168" i="4"/>
  <c r="B176" i="4"/>
  <c r="C176" i="4"/>
  <c r="D176" i="4"/>
  <c r="E176" i="4"/>
  <c r="F176" i="4"/>
  <c r="G176" i="4"/>
  <c r="H176" i="4"/>
  <c r="I176" i="4"/>
  <c r="J176" i="4"/>
  <c r="K176" i="4"/>
  <c r="L176" i="4"/>
  <c r="D173" i="4" s="1"/>
  <c r="F173" i="4" s="1"/>
  <c r="M176" i="4"/>
  <c r="N176" i="4"/>
  <c r="O176" i="4"/>
  <c r="P176" i="4"/>
  <c r="Q176" i="4"/>
  <c r="R176" i="4"/>
  <c r="S176" i="4"/>
  <c r="T176" i="4"/>
  <c r="U176" i="4"/>
  <c r="V176" i="4"/>
  <c r="W176" i="4"/>
  <c r="X176" i="4"/>
  <c r="J173" i="4"/>
  <c r="B181" i="4"/>
  <c r="C181" i="4"/>
  <c r="D181" i="4"/>
  <c r="E181" i="4"/>
  <c r="F181" i="4"/>
  <c r="G181" i="4"/>
  <c r="H181" i="4"/>
  <c r="I181" i="4"/>
  <c r="J181" i="4"/>
  <c r="K181" i="4"/>
  <c r="L181" i="4"/>
  <c r="M181" i="4"/>
  <c r="N181" i="4"/>
  <c r="O181" i="4"/>
  <c r="P181" i="4"/>
  <c r="Q181" i="4"/>
  <c r="R181" i="4"/>
  <c r="S181" i="4"/>
  <c r="T181" i="4"/>
  <c r="U181" i="4"/>
  <c r="V181" i="4"/>
  <c r="W181" i="4"/>
  <c r="X181" i="4"/>
  <c r="J178" i="4"/>
  <c r="B186" i="4"/>
  <c r="D183" i="4" s="1"/>
  <c r="F183" i="4" s="1"/>
  <c r="C186" i="4"/>
  <c r="D186" i="4"/>
  <c r="E186" i="4"/>
  <c r="F186" i="4"/>
  <c r="G186" i="4"/>
  <c r="H186" i="4"/>
  <c r="I186" i="4"/>
  <c r="J186" i="4"/>
  <c r="K186" i="4"/>
  <c r="L186" i="4"/>
  <c r="M186" i="4"/>
  <c r="N186" i="4"/>
  <c r="O186" i="4"/>
  <c r="P186" i="4"/>
  <c r="Q186" i="4"/>
  <c r="R186" i="4"/>
  <c r="S186" i="4"/>
  <c r="T186" i="4"/>
  <c r="U186" i="4"/>
  <c r="V186" i="4"/>
  <c r="W186" i="4"/>
  <c r="X186" i="4"/>
  <c r="J183" i="4"/>
  <c r="B191" i="4"/>
  <c r="C191" i="4"/>
  <c r="D191" i="4"/>
  <c r="E191" i="4"/>
  <c r="F191" i="4"/>
  <c r="G191" i="4"/>
  <c r="H191" i="4"/>
  <c r="I191" i="4"/>
  <c r="J191" i="4"/>
  <c r="K191" i="4"/>
  <c r="L191" i="4"/>
  <c r="M191" i="4"/>
  <c r="N191" i="4"/>
  <c r="O191" i="4"/>
  <c r="P191" i="4"/>
  <c r="Q191" i="4"/>
  <c r="R191" i="4"/>
  <c r="T190" i="4"/>
  <c r="U190" i="4" s="1"/>
  <c r="X189" i="4"/>
  <c r="L188" i="4"/>
  <c r="J188" i="4" s="1"/>
  <c r="B221" i="4"/>
  <c r="C221" i="4"/>
  <c r="D221" i="4"/>
  <c r="E221" i="4"/>
  <c r="F221" i="4"/>
  <c r="G221" i="4"/>
  <c r="H221" i="4"/>
  <c r="I221" i="4"/>
  <c r="J221" i="4"/>
  <c r="K221" i="4"/>
  <c r="L221" i="4"/>
  <c r="M221" i="4"/>
  <c r="N221" i="4"/>
  <c r="O221" i="4"/>
  <c r="P221" i="4"/>
  <c r="Q221" i="4"/>
  <c r="R221" i="4"/>
  <c r="S221" i="4"/>
  <c r="T221" i="4"/>
  <c r="U221" i="4"/>
  <c r="V221" i="4"/>
  <c r="W221" i="4"/>
  <c r="X221" i="4"/>
  <c r="J218" i="4"/>
  <c r="B261" i="4"/>
  <c r="C261" i="4"/>
  <c r="D261" i="4"/>
  <c r="E261" i="4"/>
  <c r="F261" i="4"/>
  <c r="G261" i="4"/>
  <c r="H261" i="4"/>
  <c r="I261" i="4"/>
  <c r="J261" i="4"/>
  <c r="K261" i="4"/>
  <c r="L261" i="4"/>
  <c r="M261" i="4"/>
  <c r="N261" i="4"/>
  <c r="O261" i="4"/>
  <c r="P261" i="4"/>
  <c r="Q261" i="4"/>
  <c r="R261" i="4"/>
  <c r="S261" i="4"/>
  <c r="T261" i="4"/>
  <c r="U261" i="4"/>
  <c r="V261" i="4"/>
  <c r="W261" i="4"/>
  <c r="X261" i="4"/>
  <c r="J258" i="4"/>
  <c r="B266" i="4"/>
  <c r="D263" i="4" s="1"/>
  <c r="F263" i="4" s="1"/>
  <c r="C266" i="4"/>
  <c r="D266" i="4"/>
  <c r="E266" i="4"/>
  <c r="F266" i="4"/>
  <c r="G266" i="4"/>
  <c r="H266" i="4"/>
  <c r="I266" i="4"/>
  <c r="J266" i="4"/>
  <c r="K266" i="4"/>
  <c r="L266" i="4"/>
  <c r="M266" i="4"/>
  <c r="N266" i="4"/>
  <c r="O266" i="4"/>
  <c r="P266" i="4"/>
  <c r="Q266" i="4"/>
  <c r="R266" i="4"/>
  <c r="S266" i="4"/>
  <c r="T266" i="4"/>
  <c r="U266" i="4"/>
  <c r="V266" i="4"/>
  <c r="W266" i="4"/>
  <c r="X266" i="4"/>
  <c r="J263" i="4"/>
  <c r="B272" i="4"/>
  <c r="C272" i="4"/>
  <c r="D272" i="4"/>
  <c r="E272" i="4"/>
  <c r="F272" i="4"/>
  <c r="G272" i="4"/>
  <c r="H272" i="4"/>
  <c r="I272" i="4"/>
  <c r="J272" i="4"/>
  <c r="K272" i="4"/>
  <c r="L272" i="4"/>
  <c r="M272" i="4"/>
  <c r="N272" i="4"/>
  <c r="O272" i="4"/>
  <c r="P272" i="4"/>
  <c r="Q272" i="4"/>
  <c r="R272" i="4"/>
  <c r="S272" i="4"/>
  <c r="T272" i="4"/>
  <c r="U272" i="4"/>
  <c r="V272" i="4"/>
  <c r="W272" i="4"/>
  <c r="X272" i="4"/>
  <c r="J269" i="4"/>
  <c r="B277" i="4"/>
  <c r="C277" i="4"/>
  <c r="D277" i="4"/>
  <c r="E277" i="4"/>
  <c r="F277" i="4"/>
  <c r="G277" i="4"/>
  <c r="H277" i="4"/>
  <c r="I277" i="4"/>
  <c r="J277" i="4"/>
  <c r="K277" i="4"/>
  <c r="L277" i="4"/>
  <c r="M277" i="4"/>
  <c r="N277" i="4"/>
  <c r="O277" i="4"/>
  <c r="P277" i="4"/>
  <c r="Q277" i="4"/>
  <c r="R277" i="4"/>
  <c r="S277" i="4"/>
  <c r="T277" i="4"/>
  <c r="U277" i="4"/>
  <c r="V277" i="4"/>
  <c r="W277" i="4"/>
  <c r="X277" i="4"/>
  <c r="J274" i="4"/>
  <c r="B282" i="4"/>
  <c r="C282" i="4"/>
  <c r="D282" i="4"/>
  <c r="E282" i="4"/>
  <c r="F282" i="4"/>
  <c r="G282" i="4"/>
  <c r="H282" i="4"/>
  <c r="I282" i="4"/>
  <c r="J282" i="4"/>
  <c r="K282" i="4"/>
  <c r="L282" i="4"/>
  <c r="M282" i="4"/>
  <c r="N282" i="4"/>
  <c r="O282" i="4"/>
  <c r="P282" i="4"/>
  <c r="Q282" i="4"/>
  <c r="R282" i="4"/>
  <c r="S282" i="4"/>
  <c r="T282" i="4"/>
  <c r="U282" i="4"/>
  <c r="V282" i="4"/>
  <c r="W282" i="4"/>
  <c r="X282" i="4"/>
  <c r="J279" i="4"/>
  <c r="B287" i="4"/>
  <c r="C287" i="4"/>
  <c r="D287" i="4"/>
  <c r="E287" i="4"/>
  <c r="F287" i="4"/>
  <c r="G287" i="4"/>
  <c r="H287" i="4"/>
  <c r="I287" i="4"/>
  <c r="J287" i="4"/>
  <c r="K287" i="4"/>
  <c r="L287" i="4"/>
  <c r="M287" i="4"/>
  <c r="N287" i="4"/>
  <c r="O287" i="4"/>
  <c r="P287" i="4"/>
  <c r="Q287" i="4"/>
  <c r="R287" i="4"/>
  <c r="S287" i="4"/>
  <c r="T287" i="4"/>
  <c r="U287" i="4"/>
  <c r="V287" i="4"/>
  <c r="W287" i="4"/>
  <c r="X287" i="4"/>
  <c r="J284" i="4"/>
  <c r="B292" i="4"/>
  <c r="C292" i="4"/>
  <c r="D292" i="4"/>
  <c r="E292" i="4"/>
  <c r="F292" i="4"/>
  <c r="G292" i="4"/>
  <c r="H292" i="4"/>
  <c r="I292" i="4"/>
  <c r="J292" i="4"/>
  <c r="K292" i="4"/>
  <c r="L292" i="4"/>
  <c r="M292" i="4"/>
  <c r="N292" i="4"/>
  <c r="O292" i="4"/>
  <c r="P292" i="4"/>
  <c r="Q292" i="4"/>
  <c r="R292" i="4"/>
  <c r="S292" i="4"/>
  <c r="T292" i="4"/>
  <c r="U292" i="4"/>
  <c r="V292" i="4"/>
  <c r="W292" i="4"/>
  <c r="X292" i="4"/>
  <c r="J289" i="4"/>
  <c r="B297" i="4"/>
  <c r="C297" i="4"/>
  <c r="D297" i="4"/>
  <c r="E297" i="4"/>
  <c r="F297" i="4"/>
  <c r="G297" i="4"/>
  <c r="H297" i="4"/>
  <c r="I297" i="4"/>
  <c r="J297" i="4"/>
  <c r="K297" i="4"/>
  <c r="L297" i="4"/>
  <c r="M297" i="4"/>
  <c r="N297" i="4"/>
  <c r="O297" i="4"/>
  <c r="P297" i="4"/>
  <c r="Q297" i="4"/>
  <c r="R297" i="4"/>
  <c r="S297" i="4"/>
  <c r="T297" i="4"/>
  <c r="U297" i="4"/>
  <c r="V297" i="4"/>
  <c r="W297" i="4"/>
  <c r="X297" i="4"/>
  <c r="J294" i="4"/>
  <c r="B302" i="4"/>
  <c r="C302" i="4"/>
  <c r="D302" i="4"/>
  <c r="E302" i="4"/>
  <c r="F302" i="4"/>
  <c r="G302" i="4"/>
  <c r="H302" i="4"/>
  <c r="I302" i="4"/>
  <c r="J302" i="4"/>
  <c r="K302" i="4"/>
  <c r="L302" i="4"/>
  <c r="M302" i="4"/>
  <c r="N302" i="4"/>
  <c r="O302" i="4"/>
  <c r="P302" i="4"/>
  <c r="Q302" i="4"/>
  <c r="R302" i="4"/>
  <c r="S302" i="4"/>
  <c r="T302" i="4"/>
  <c r="U302" i="4"/>
  <c r="V302" i="4"/>
  <c r="W302" i="4"/>
  <c r="X302" i="4"/>
  <c r="J299" i="4"/>
  <c r="B312" i="4"/>
  <c r="C312" i="4"/>
  <c r="D312" i="4"/>
  <c r="E312" i="4"/>
  <c r="F312" i="4"/>
  <c r="G312" i="4"/>
  <c r="H312" i="4"/>
  <c r="I312" i="4"/>
  <c r="J312" i="4"/>
  <c r="K312" i="4"/>
  <c r="L312" i="4"/>
  <c r="M312" i="4"/>
  <c r="N312" i="4"/>
  <c r="O312" i="4"/>
  <c r="P312" i="4"/>
  <c r="Q312" i="4"/>
  <c r="R312" i="4"/>
  <c r="S312" i="4"/>
  <c r="T312" i="4"/>
  <c r="U312" i="4"/>
  <c r="V312" i="4"/>
  <c r="W312" i="4"/>
  <c r="X312" i="4"/>
  <c r="J309" i="4"/>
  <c r="A316" i="4"/>
  <c r="B26" i="4"/>
  <c r="N26" i="4"/>
  <c r="B31" i="4"/>
  <c r="N31" i="4"/>
  <c r="B36" i="4"/>
  <c r="N36" i="4"/>
  <c r="B41" i="4"/>
  <c r="N41" i="4"/>
  <c r="B46" i="4"/>
  <c r="N46" i="4"/>
  <c r="B51" i="4"/>
  <c r="N51" i="4"/>
  <c r="B56" i="4"/>
  <c r="N56" i="4"/>
  <c r="B61" i="4"/>
  <c r="N61" i="4"/>
  <c r="B67" i="4"/>
  <c r="B72" i="4"/>
  <c r="B77" i="4"/>
  <c r="B82" i="4"/>
  <c r="B87" i="4"/>
  <c r="B108" i="4"/>
  <c r="B118" i="4"/>
  <c r="B138" i="4"/>
  <c r="B143" i="4"/>
  <c r="B153" i="4"/>
  <c r="B158" i="4"/>
  <c r="B163" i="4"/>
  <c r="B168" i="4"/>
  <c r="B173" i="4"/>
  <c r="B178" i="4"/>
  <c r="B183" i="4"/>
  <c r="B188" i="4"/>
  <c r="B218" i="4"/>
  <c r="B258" i="4"/>
  <c r="B263" i="4"/>
  <c r="B269" i="4"/>
  <c r="B274" i="4"/>
  <c r="B279" i="4"/>
  <c r="B284" i="4"/>
  <c r="B289" i="4"/>
  <c r="B294" i="4"/>
  <c r="B299" i="4"/>
  <c r="B309" i="4"/>
  <c r="E116" i="7"/>
  <c r="F85" i="7"/>
  <c r="H118" i="7"/>
  <c r="H111" i="7"/>
  <c r="E102" i="7"/>
  <c r="E103" i="7"/>
  <c r="E104" i="7"/>
  <c r="E100" i="7"/>
  <c r="H105" i="7"/>
  <c r="J105" i="7"/>
  <c r="J101" i="7"/>
  <c r="J97" i="7"/>
  <c r="F97" i="7"/>
  <c r="J92" i="7"/>
  <c r="J88" i="7"/>
  <c r="J86" i="7"/>
  <c r="J84" i="7"/>
  <c r="F90" i="7"/>
  <c r="F82" i="7"/>
  <c r="D85" i="7"/>
  <c r="D83" i="7"/>
  <c r="D81" i="7"/>
  <c r="D80" i="7"/>
  <c r="B20" i="6"/>
  <c r="F321" i="4"/>
  <c r="F320" i="4"/>
  <c r="C21" i="5"/>
  <c r="C20" i="5"/>
  <c r="C26" i="5"/>
  <c r="C22" i="5"/>
  <c r="C17" i="5"/>
  <c r="C19" i="5"/>
  <c r="C16" i="5"/>
  <c r="C15" i="5"/>
  <c r="L2" i="6"/>
  <c r="C317" i="4"/>
  <c r="F317" i="4"/>
  <c r="C318" i="4"/>
  <c r="F318" i="4"/>
  <c r="C319" i="4"/>
  <c r="F319" i="4"/>
  <c r="C320" i="4"/>
  <c r="C321" i="4"/>
  <c r="C322" i="4"/>
  <c r="C323" i="4"/>
  <c r="C324" i="4"/>
  <c r="B146" i="2"/>
  <c r="B37" i="1"/>
  <c r="B37" i="6"/>
  <c r="B16" i="8"/>
  <c r="B76" i="2"/>
  <c r="B12" i="8"/>
  <c r="B108" i="1"/>
  <c r="F42" i="5"/>
  <c r="B73" i="8"/>
  <c r="B80" i="8"/>
  <c r="C5" i="8"/>
  <c r="B78" i="8"/>
  <c r="B76" i="8"/>
  <c r="B75" i="8"/>
  <c r="B11" i="8"/>
  <c r="C4" i="8"/>
  <c r="C17" i="8"/>
  <c r="C15" i="8"/>
  <c r="C13" i="8"/>
  <c r="B13" i="8"/>
  <c r="C9" i="8"/>
  <c r="C8" i="8"/>
  <c r="B8" i="8"/>
  <c r="C7" i="8"/>
  <c r="N37" i="6"/>
  <c r="C53" i="5"/>
  <c r="C55" i="5"/>
  <c r="T18" i="6"/>
  <c r="S17" i="6"/>
  <c r="S19" i="6"/>
  <c r="S18" i="6"/>
  <c r="S13" i="6"/>
  <c r="S14" i="6"/>
  <c r="S12" i="6"/>
  <c r="T16" i="6"/>
  <c r="T11" i="6"/>
  <c r="L39" i="6"/>
  <c r="B94" i="1"/>
  <c r="B79" i="2"/>
  <c r="H64" i="7"/>
  <c r="H63" i="7" s="1"/>
  <c r="E59" i="7"/>
  <c r="E55" i="7"/>
  <c r="H52" i="7"/>
  <c r="E45" i="7"/>
  <c r="D45" i="7"/>
  <c r="E44" i="7"/>
  <c r="D44" i="7"/>
  <c r="E46" i="7"/>
  <c r="D46" i="7"/>
  <c r="E43" i="7"/>
  <c r="D43" i="7"/>
  <c r="E41" i="7"/>
  <c r="E50" i="7"/>
  <c r="E48" i="7"/>
  <c r="E47" i="7"/>
  <c r="H50" i="7"/>
  <c r="E51" i="7"/>
  <c r="C31" i="7"/>
  <c r="C5" i="5"/>
  <c r="C6" i="5"/>
  <c r="C7" i="5"/>
  <c r="C8" i="5"/>
  <c r="C10" i="5"/>
  <c r="C11" i="5"/>
  <c r="C12" i="5"/>
  <c r="C13" i="5"/>
  <c r="C23" i="5"/>
  <c r="C25" i="5"/>
  <c r="C28" i="5"/>
  <c r="C33" i="5"/>
  <c r="F34" i="5"/>
  <c r="F35" i="5"/>
  <c r="F36" i="5"/>
  <c r="F37" i="5"/>
  <c r="F38" i="5"/>
  <c r="F39" i="5"/>
  <c r="F40" i="5"/>
  <c r="C54" i="5"/>
  <c r="A1" i="4"/>
  <c r="A3" i="4"/>
  <c r="A4" i="4"/>
  <c r="B77" i="2"/>
  <c r="B78" i="2"/>
  <c r="B131" i="2"/>
  <c r="B133" i="2"/>
  <c r="B134" i="2"/>
  <c r="B135" i="2"/>
  <c r="B137" i="2"/>
  <c r="B138" i="2"/>
  <c r="B140" i="2"/>
  <c r="B141" i="2"/>
  <c r="B144" i="2"/>
  <c r="C4" i="1"/>
  <c r="C6" i="1"/>
  <c r="C7" i="1"/>
  <c r="C24" i="1" s="1"/>
  <c r="B8" i="1"/>
  <c r="C8" i="1"/>
  <c r="C9" i="1"/>
  <c r="B11" i="1"/>
  <c r="B12" i="1"/>
  <c r="C12" i="1"/>
  <c r="C14" i="1"/>
  <c r="C18" i="1"/>
  <c r="B19" i="1"/>
  <c r="B20" i="1"/>
  <c r="C23" i="1"/>
  <c r="G23" i="1"/>
  <c r="H23" i="1"/>
  <c r="J23" i="1"/>
  <c r="K23" i="1"/>
  <c r="F24" i="1"/>
  <c r="B25" i="1"/>
  <c r="F25" i="1"/>
  <c r="B27" i="1"/>
  <c r="F26" i="1"/>
  <c r="H26" i="1"/>
  <c r="F28" i="1"/>
  <c r="B31" i="1"/>
  <c r="F29" i="1"/>
  <c r="B32" i="1"/>
  <c r="B33" i="1"/>
  <c r="H33" i="1"/>
  <c r="B34" i="1"/>
  <c r="F34" i="1"/>
  <c r="B35" i="1"/>
  <c r="F35" i="1"/>
  <c r="F36" i="1"/>
  <c r="A40" i="1"/>
  <c r="F40" i="1"/>
  <c r="H40" i="1"/>
  <c r="J40" i="1"/>
  <c r="K40" i="1"/>
  <c r="F42" i="1"/>
  <c r="M42" i="1"/>
  <c r="F43" i="1"/>
  <c r="F44" i="1"/>
  <c r="F45" i="1"/>
  <c r="F47" i="1"/>
  <c r="F48" i="1"/>
  <c r="F49" i="1"/>
  <c r="L49" i="1"/>
  <c r="F50" i="1"/>
  <c r="H50" i="1"/>
  <c r="F51" i="1"/>
  <c r="I51" i="1"/>
  <c r="L51" i="1"/>
  <c r="M51" i="1"/>
  <c r="B103" i="1"/>
  <c r="B110" i="1"/>
  <c r="B111" i="1"/>
  <c r="B112" i="1"/>
  <c r="B113" i="1"/>
  <c r="B114" i="1"/>
  <c r="B118" i="1"/>
  <c r="C143" i="1"/>
  <c r="C145" i="1"/>
  <c r="C147" i="1"/>
  <c r="B149" i="1"/>
  <c r="C4" i="6"/>
  <c r="C6" i="6"/>
  <c r="L6" i="6"/>
  <c r="C7" i="6"/>
  <c r="L7" i="6"/>
  <c r="B8" i="6"/>
  <c r="L8" i="6"/>
  <c r="L9" i="6"/>
  <c r="B12" i="6"/>
  <c r="M11" i="6"/>
  <c r="N11" i="6"/>
  <c r="P11" i="6"/>
  <c r="B13" i="6"/>
  <c r="L12" i="6"/>
  <c r="B14" i="6"/>
  <c r="L13" i="6"/>
  <c r="B15" i="6"/>
  <c r="L14" i="6"/>
  <c r="L15" i="6"/>
  <c r="C17" i="6"/>
  <c r="B19" i="6"/>
  <c r="L18" i="6"/>
  <c r="L19" i="6"/>
  <c r="C21" i="6"/>
  <c r="L20" i="6"/>
  <c r="B22" i="6"/>
  <c r="L21" i="6"/>
  <c r="B23" i="6"/>
  <c r="L22" i="6"/>
  <c r="B24" i="6"/>
  <c r="D26" i="6"/>
  <c r="F26" i="6"/>
  <c r="H26" i="6"/>
  <c r="E27" i="6"/>
  <c r="F28" i="6"/>
  <c r="F29" i="6"/>
  <c r="F30" i="6"/>
  <c r="E31" i="6"/>
  <c r="E32" i="6"/>
  <c r="D36" i="6"/>
  <c r="B92" i="6"/>
  <c r="B97" i="6"/>
  <c r="B103" i="6"/>
  <c r="B104" i="6"/>
  <c r="B105" i="6"/>
  <c r="B107" i="6"/>
  <c r="B108" i="6"/>
  <c r="B109" i="6"/>
  <c r="B114" i="6"/>
  <c r="B115" i="6"/>
  <c r="B117" i="6"/>
  <c r="B118" i="6"/>
  <c r="B119" i="6"/>
  <c r="B121" i="6"/>
  <c r="C124" i="6"/>
  <c r="E124" i="6"/>
  <c r="C125" i="6"/>
  <c r="C126" i="6" s="1"/>
  <c r="C127" i="6" s="1"/>
  <c r="C128" i="6" s="1"/>
  <c r="C129" i="6" s="1"/>
  <c r="D125" i="6"/>
  <c r="E125" i="6" s="1"/>
  <c r="C130" i="6"/>
  <c r="C131" i="6"/>
  <c r="E131" i="6"/>
  <c r="B137" i="6"/>
  <c r="B140" i="6"/>
  <c r="B143" i="6"/>
  <c r="B146" i="6"/>
  <c r="B155" i="6"/>
  <c r="E175" i="6"/>
  <c r="C176" i="6"/>
  <c r="F176" i="6"/>
  <c r="G176" i="6"/>
  <c r="D176" i="6" s="1"/>
  <c r="E176" i="6" s="1"/>
  <c r="H176" i="6"/>
  <c r="C177" i="6"/>
  <c r="F177" i="6"/>
  <c r="G177" i="6"/>
  <c r="D177" i="6" s="1"/>
  <c r="E177" i="6" s="1"/>
  <c r="H177" i="6"/>
  <c r="C178" i="6"/>
  <c r="F178" i="6"/>
  <c r="G178" i="6"/>
  <c r="H178" i="6"/>
  <c r="C179" i="6"/>
  <c r="F179" i="6"/>
  <c r="G179" i="6"/>
  <c r="D179" i="6" s="1"/>
  <c r="E179" i="6" s="1"/>
  <c r="H179" i="6"/>
  <c r="C180" i="6"/>
  <c r="D180" i="6"/>
  <c r="E180" i="6" s="1"/>
  <c r="F180" i="6"/>
  <c r="G180" i="6"/>
  <c r="H180" i="6"/>
  <c r="U120" i="4"/>
  <c r="T121" i="4" s="1"/>
  <c r="U85" i="4"/>
  <c r="O85" i="4"/>
  <c r="R216" i="4"/>
  <c r="V115" i="4"/>
  <c r="J87" i="4"/>
  <c r="S90" i="4"/>
  <c r="Q90" i="4"/>
  <c r="K90" i="4"/>
  <c r="I90" i="4"/>
  <c r="G90" i="4"/>
  <c r="T214" i="4"/>
  <c r="U214" i="4" s="1"/>
  <c r="V214" i="4" s="1"/>
  <c r="W214" i="4" s="1"/>
  <c r="D269" i="4"/>
  <c r="F269" i="4" s="1"/>
  <c r="X85" i="4"/>
  <c r="T85" i="4"/>
  <c r="R85" i="4"/>
  <c r="J85" i="4"/>
  <c r="D85" i="4"/>
  <c r="L90" i="4"/>
  <c r="D36" i="4"/>
  <c r="F36" i="4" s="1"/>
  <c r="D31" i="4"/>
  <c r="F31" i="4" s="1"/>
  <c r="U165" i="4"/>
  <c r="T166" i="4" s="1"/>
  <c r="R201" i="4"/>
  <c r="K196" i="4"/>
  <c r="T211" i="4"/>
  <c r="S226" i="4"/>
  <c r="S251" i="4"/>
  <c r="L246" i="4"/>
  <c r="K246" i="4"/>
  <c r="R251" i="4"/>
  <c r="U116" i="4"/>
  <c r="W115" i="4"/>
  <c r="X115" i="4" s="1"/>
  <c r="V116" i="4"/>
  <c r="U211" i="4"/>
  <c r="M246" i="4"/>
  <c r="V250" i="4"/>
  <c r="T251" i="4"/>
  <c r="V211" i="4"/>
  <c r="N246" i="4"/>
  <c r="X245" i="4"/>
  <c r="W211" i="4"/>
  <c r="X211" i="4"/>
  <c r="O246" i="4"/>
  <c r="P246" i="4"/>
  <c r="Q246" i="4"/>
  <c r="R246" i="4"/>
  <c r="S246" i="4"/>
  <c r="T246" i="4"/>
  <c r="U246" i="4"/>
  <c r="X244" i="4"/>
  <c r="V246" i="4"/>
  <c r="W130" i="4"/>
  <c r="V131" i="4" s="1"/>
  <c r="U125" i="4"/>
  <c r="V125" i="4" s="1"/>
  <c r="R241" i="4"/>
  <c r="P14" i="6"/>
  <c r="E11" i="7" s="1"/>
  <c r="P15" i="6"/>
  <c r="H42" i="7" s="1"/>
  <c r="C133" i="6"/>
  <c r="C163" i="6"/>
  <c r="O21" i="6"/>
  <c r="C167" i="6"/>
  <c r="C166" i="6"/>
  <c r="D161" i="6"/>
  <c r="E161" i="6" s="1"/>
  <c r="D158" i="6"/>
  <c r="E158" i="6" s="1"/>
  <c r="D162" i="6"/>
  <c r="E162" i="6" s="1"/>
  <c r="D160" i="6"/>
  <c r="E160" i="6" s="1"/>
  <c r="D159" i="6"/>
  <c r="E159" i="6" s="1"/>
  <c r="D166" i="6"/>
  <c r="E166" i="6" s="1"/>
  <c r="D167" i="6"/>
  <c r="E167" i="6" s="1"/>
  <c r="D163" i="6"/>
  <c r="E163" i="6" s="1"/>
  <c r="S206" i="4"/>
  <c r="R206" i="4"/>
  <c r="T206" i="4"/>
  <c r="U206" i="4"/>
  <c r="X205" i="4"/>
  <c r="W206" i="4" s="1"/>
  <c r="V206" i="4"/>
  <c r="X100" i="4"/>
  <c r="L105" i="4"/>
  <c r="C105" i="4"/>
  <c r="K105" i="4"/>
  <c r="O105" i="4"/>
  <c r="S100" i="4"/>
  <c r="U100" i="4"/>
  <c r="H100" i="4"/>
  <c r="Q100" i="4"/>
  <c r="Q105" i="4"/>
  <c r="I38" i="7" l="1"/>
  <c r="B81" i="8"/>
  <c r="L4" i="3"/>
  <c r="H4" i="3"/>
  <c r="E8" i="7"/>
  <c r="C198" i="6"/>
  <c r="C197" i="6"/>
  <c r="B197" i="6" s="1"/>
  <c r="C182" i="6"/>
  <c r="E188" i="6"/>
  <c r="B189" i="6"/>
  <c r="C184" i="6"/>
  <c r="E192" i="6"/>
  <c r="D284" i="4"/>
  <c r="F284" i="4" s="1"/>
  <c r="N194" i="4"/>
  <c r="L196" i="4"/>
  <c r="C90" i="4"/>
  <c r="D67" i="4"/>
  <c r="F67" i="4" s="1"/>
  <c r="D46" i="4"/>
  <c r="F46" i="4" s="1"/>
  <c r="W90" i="4"/>
  <c r="D168" i="4"/>
  <c r="F168" i="4" s="1"/>
  <c r="J82" i="4"/>
  <c r="J105" i="4"/>
  <c r="N90" i="4"/>
  <c r="H69" i="7"/>
  <c r="G100" i="4"/>
  <c r="X246" i="4"/>
  <c r="S191" i="4"/>
  <c r="U251" i="4"/>
  <c r="V120" i="4"/>
  <c r="W120" i="4" s="1"/>
  <c r="X120" i="4" s="1"/>
  <c r="G85" i="4"/>
  <c r="T90" i="4"/>
  <c r="C136" i="6"/>
  <c r="V165" i="4"/>
  <c r="U166" i="4" s="1"/>
  <c r="D143" i="4"/>
  <c r="F143" i="4" s="1"/>
  <c r="Q85" i="4"/>
  <c r="T234" i="4"/>
  <c r="U234" i="4" s="1"/>
  <c r="V234" i="4" s="1"/>
  <c r="W234" i="4" s="1"/>
  <c r="L100" i="4"/>
  <c r="P105" i="4"/>
  <c r="R105" i="4"/>
  <c r="N85" i="4"/>
  <c r="S105" i="4"/>
  <c r="D274" i="4"/>
  <c r="F274" i="4" s="1"/>
  <c r="D218" i="4"/>
  <c r="F218" i="4" s="1"/>
  <c r="M20" i="6"/>
  <c r="K85" i="4"/>
  <c r="X105" i="4"/>
  <c r="B79" i="8"/>
  <c r="C148" i="6"/>
  <c r="D178" i="4"/>
  <c r="F178" i="4" s="1"/>
  <c r="P90" i="4"/>
  <c r="I85" i="4"/>
  <c r="T126" i="4"/>
  <c r="V100" i="4"/>
  <c r="D279" i="4"/>
  <c r="F279" i="4" s="1"/>
  <c r="D258" i="4"/>
  <c r="F258" i="4" s="1"/>
  <c r="M90" i="4"/>
  <c r="D61" i="4"/>
  <c r="F61" i="4" s="1"/>
  <c r="D41" i="4"/>
  <c r="F41" i="4" s="1"/>
  <c r="D158" i="4"/>
  <c r="F158" i="4" s="1"/>
  <c r="H90" i="4"/>
  <c r="B105" i="4"/>
  <c r="U256" i="4"/>
  <c r="E90" i="4"/>
  <c r="B100" i="4"/>
  <c r="D26" i="4"/>
  <c r="F26" i="4" s="1"/>
  <c r="E185" i="6"/>
  <c r="W116" i="4"/>
  <c r="X116" i="4"/>
  <c r="U239" i="4"/>
  <c r="V239" i="4" s="1"/>
  <c r="W239" i="4" s="1"/>
  <c r="X239" i="4" s="1"/>
  <c r="S241" i="4"/>
  <c r="U126" i="4"/>
  <c r="W125" i="4"/>
  <c r="S216" i="4"/>
  <c r="U215" i="4"/>
  <c r="T216" i="4" s="1"/>
  <c r="D309" i="4"/>
  <c r="F309" i="4" s="1"/>
  <c r="D299" i="4"/>
  <c r="F299" i="4" s="1"/>
  <c r="D294" i="4"/>
  <c r="F294" i="4" s="1"/>
  <c r="D208" i="4"/>
  <c r="F208" i="4" s="1"/>
  <c r="B90" i="4"/>
  <c r="U121" i="4"/>
  <c r="U110" i="4"/>
  <c r="J97" i="4"/>
  <c r="F100" i="4"/>
  <c r="N100" i="4"/>
  <c r="T100" i="4"/>
  <c r="V105" i="4"/>
  <c r="T241" i="4"/>
  <c r="C100" i="4"/>
  <c r="W100" i="4"/>
  <c r="H105" i="4"/>
  <c r="U105" i="4"/>
  <c r="D126" i="6"/>
  <c r="W250" i="4"/>
  <c r="X250" i="4" s="1"/>
  <c r="X251" i="4" s="1"/>
  <c r="D289" i="4"/>
  <c r="F289" i="4" s="1"/>
  <c r="X130" i="4"/>
  <c r="W246" i="4"/>
  <c r="C85" i="4"/>
  <c r="B199" i="6"/>
  <c r="D100" i="4"/>
  <c r="J102" i="4"/>
  <c r="F105" i="4"/>
  <c r="M105" i="4"/>
  <c r="E186" i="6"/>
  <c r="E187" i="6"/>
  <c r="J24" i="7"/>
  <c r="D304" i="4"/>
  <c r="F304" i="4" s="1"/>
  <c r="U200" i="4"/>
  <c r="S201" i="4"/>
  <c r="T191" i="4"/>
  <c r="V190" i="4"/>
  <c r="T226" i="4"/>
  <c r="V225" i="4"/>
  <c r="X255" i="4"/>
  <c r="V256" i="4"/>
  <c r="X240" i="4"/>
  <c r="V241" i="4"/>
  <c r="U235" i="4"/>
  <c r="S236" i="4"/>
  <c r="D113" i="4"/>
  <c r="F113" i="4" s="1"/>
  <c r="K100" i="4"/>
  <c r="M100" i="4"/>
  <c r="O100" i="4"/>
  <c r="D105" i="4"/>
  <c r="W105" i="4"/>
  <c r="I100" i="4"/>
  <c r="X206" i="4"/>
  <c r="D203" i="4" s="1"/>
  <c r="F203" i="4" s="1"/>
  <c r="B2" i="4"/>
  <c r="M24" i="6"/>
  <c r="K24" i="7"/>
  <c r="F94" i="7"/>
  <c r="M23" i="6"/>
  <c r="B59" i="8"/>
  <c r="C59" i="8" s="1"/>
  <c r="C15" i="1"/>
  <c r="H51" i="7" s="1"/>
  <c r="B61" i="8"/>
  <c r="C61" i="8" s="1"/>
  <c r="D178" i="6"/>
  <c r="E178" i="6" s="1"/>
  <c r="C35" i="6"/>
  <c r="E56" i="7" s="1"/>
  <c r="B63" i="8"/>
  <c r="C63" i="8" s="1"/>
  <c r="E40" i="7"/>
  <c r="O23" i="6"/>
  <c r="O24" i="6"/>
  <c r="B55" i="8"/>
  <c r="C55" i="8" s="1"/>
  <c r="B65" i="8"/>
  <c r="C65" i="8" s="1"/>
  <c r="B69" i="8"/>
  <c r="C69" i="8" s="1"/>
  <c r="B64" i="8"/>
  <c r="C64" i="8" s="1"/>
  <c r="B67" i="8"/>
  <c r="C67" i="8" s="1"/>
  <c r="H27" i="6"/>
  <c r="H45" i="7" s="1"/>
  <c r="C16" i="8"/>
  <c r="B68" i="8"/>
  <c r="C68" i="8" s="1"/>
  <c r="B56" i="8"/>
  <c r="C56" i="8" s="1"/>
  <c r="B58" i="8"/>
  <c r="C58" i="8" s="1"/>
  <c r="B62" i="8"/>
  <c r="C62" i="8" s="1"/>
  <c r="O18" i="6"/>
  <c r="D35" i="6"/>
  <c r="B54" i="8"/>
  <c r="C54" i="8" s="1"/>
  <c r="D26" i="7"/>
  <c r="B53" i="8"/>
  <c r="C53" i="8" s="1"/>
  <c r="B60" i="8"/>
  <c r="C60" i="8" s="1"/>
  <c r="B66" i="8"/>
  <c r="C66" i="8" s="1"/>
  <c r="B52" i="8"/>
  <c r="C52" i="8" s="1"/>
  <c r="B57" i="8"/>
  <c r="C57" i="8" s="1"/>
  <c r="T14" i="6"/>
  <c r="C173" i="6"/>
  <c r="C172" i="6"/>
  <c r="D23" i="7"/>
  <c r="E108" i="7"/>
  <c r="C195" i="6"/>
  <c r="A317" i="4" a="1"/>
  <c r="A341" i="4" s="1"/>
  <c r="D148" i="4"/>
  <c r="F148" i="4" s="1"/>
  <c r="E107" i="7"/>
  <c r="H28" i="1"/>
  <c r="H67" i="7"/>
  <c r="H17" i="7"/>
  <c r="B107" i="1"/>
  <c r="E24" i="1"/>
  <c r="B109" i="1"/>
  <c r="H48" i="1"/>
  <c r="B158" i="1"/>
  <c r="B132" i="1"/>
  <c r="G4" i="3"/>
  <c r="C139" i="6"/>
  <c r="C134" i="6"/>
  <c r="C143" i="6"/>
  <c r="C146" i="6"/>
  <c r="AD4" i="3"/>
  <c r="E190" i="6"/>
  <c r="D32" i="1"/>
  <c r="I68" i="7" s="1"/>
  <c r="C11" i="8"/>
  <c r="AE4" i="3"/>
  <c r="T19" i="6"/>
  <c r="C142" i="6"/>
  <c r="C141" i="6"/>
  <c r="C145" i="6"/>
  <c r="I71" i="7"/>
  <c r="H5" i="7"/>
  <c r="B77" i="8"/>
  <c r="C196" i="6"/>
  <c r="B196" i="6" s="1"/>
  <c r="C147" i="6"/>
  <c r="E42" i="7"/>
  <c r="E193" i="6"/>
  <c r="E189" i="6"/>
  <c r="C183" i="6"/>
  <c r="J90" i="7"/>
  <c r="F118" i="7" s="1"/>
  <c r="C132" i="6"/>
  <c r="F27" i="7"/>
  <c r="H41" i="7"/>
  <c r="C137" i="6"/>
  <c r="C135" i="6"/>
  <c r="C138" i="6"/>
  <c r="E33" i="6"/>
  <c r="C144" i="6"/>
  <c r="T17" i="6"/>
  <c r="E14" i="7"/>
  <c r="B201" i="6"/>
  <c r="C201" i="6" s="1"/>
  <c r="B186" i="6"/>
  <c r="B200" i="6"/>
  <c r="C200" i="6" s="1"/>
  <c r="E183" i="6"/>
  <c r="B187" i="6"/>
  <c r="E184" i="6"/>
  <c r="B202" i="6"/>
  <c r="T3" i="4"/>
  <c r="Q3" i="4"/>
  <c r="Y4" i="4"/>
  <c r="E4" i="7" l="1"/>
  <c r="V215" i="4"/>
  <c r="W215" i="4" s="1"/>
  <c r="V121" i="4"/>
  <c r="U241" i="4"/>
  <c r="D82" i="4"/>
  <c r="F82" i="4" s="1"/>
  <c r="D97" i="4"/>
  <c r="F97" i="4" s="1"/>
  <c r="D243" i="4"/>
  <c r="F243" i="4" s="1"/>
  <c r="W251" i="4"/>
  <c r="W165" i="4"/>
  <c r="D87" i="4"/>
  <c r="F87" i="4" s="1"/>
  <c r="O194" i="4"/>
  <c r="M196" i="4"/>
  <c r="V166" i="4"/>
  <c r="X165" i="4"/>
  <c r="V126" i="4"/>
  <c r="X125" i="4"/>
  <c r="V251" i="4"/>
  <c r="D248" i="4" s="1"/>
  <c r="F248" i="4" s="1"/>
  <c r="X131" i="4"/>
  <c r="W131" i="4"/>
  <c r="D128" i="4" s="1"/>
  <c r="V110" i="4"/>
  <c r="T111" i="4"/>
  <c r="D102" i="4"/>
  <c r="F102" i="4" s="1"/>
  <c r="E126" i="6"/>
  <c r="D127" i="6"/>
  <c r="W121" i="4"/>
  <c r="X121" i="4"/>
  <c r="W225" i="4"/>
  <c r="U226" i="4"/>
  <c r="X256" i="4"/>
  <c r="W256" i="4"/>
  <c r="D253" i="4" s="1"/>
  <c r="T201" i="4"/>
  <c r="V200" i="4"/>
  <c r="T236" i="4"/>
  <c r="V235" i="4"/>
  <c r="X241" i="4"/>
  <c r="W241" i="4"/>
  <c r="U191" i="4"/>
  <c r="W190" i="4"/>
  <c r="D157" i="6"/>
  <c r="D137" i="6"/>
  <c r="W4" i="3"/>
  <c r="D139" i="6"/>
  <c r="D133" i="6"/>
  <c r="E133" i="6" s="1"/>
  <c r="D156" i="6"/>
  <c r="D135" i="6"/>
  <c r="E135" i="6" s="1"/>
  <c r="E52" i="7"/>
  <c r="D140" i="6"/>
  <c r="E30" i="6"/>
  <c r="E34" i="6"/>
  <c r="D138" i="6"/>
  <c r="D145" i="6"/>
  <c r="D148" i="6"/>
  <c r="D143" i="6"/>
  <c r="D141" i="6"/>
  <c r="D134" i="6"/>
  <c r="E134" i="6" s="1"/>
  <c r="O20" i="6"/>
  <c r="I28" i="6" s="1"/>
  <c r="D136" i="6"/>
  <c r="E136" i="6" s="1"/>
  <c r="D147" i="6"/>
  <c r="E57" i="7"/>
  <c r="D142" i="6"/>
  <c r="D155" i="6"/>
  <c r="D132" i="6"/>
  <c r="E132" i="6" s="1"/>
  <c r="C168" i="6"/>
  <c r="C169" i="6" s="1"/>
  <c r="D168" i="6"/>
  <c r="D169" i="6" s="1"/>
  <c r="D144" i="6"/>
  <c r="E53" i="7"/>
  <c r="D146" i="6"/>
  <c r="S27" i="6"/>
  <c r="H12" i="7"/>
  <c r="I16" i="7"/>
  <c r="K51" i="1"/>
  <c r="R28" i="1"/>
  <c r="A323" i="4"/>
  <c r="A330" i="4"/>
  <c r="A331" i="4"/>
  <c r="A343" i="4"/>
  <c r="A339" i="4"/>
  <c r="A327" i="4"/>
  <c r="A338" i="4"/>
  <c r="A320" i="4"/>
  <c r="A332" i="4"/>
  <c r="A337" i="4"/>
  <c r="A340" i="4"/>
  <c r="A318" i="4"/>
  <c r="A333" i="4"/>
  <c r="A328" i="4"/>
  <c r="A342" i="4"/>
  <c r="A325" i="4"/>
  <c r="A336" i="4"/>
  <c r="A317" i="4"/>
  <c r="A346" i="4"/>
  <c r="A322" i="4"/>
  <c r="A329" i="4"/>
  <c r="A321" i="4"/>
  <c r="A326" i="4"/>
  <c r="A345" i="4"/>
  <c r="A319" i="4"/>
  <c r="A324" i="4"/>
  <c r="A335" i="4"/>
  <c r="A344" i="4"/>
  <c r="A334" i="4"/>
  <c r="B3" i="4"/>
  <c r="W3" i="4"/>
  <c r="E4" i="4"/>
  <c r="F3" i="4"/>
  <c r="H4" i="4"/>
  <c r="Y3" i="4"/>
  <c r="D4" i="4"/>
  <c r="J4" i="4"/>
  <c r="N4" i="4"/>
  <c r="M4" i="4"/>
  <c r="N3" i="4"/>
  <c r="K4" i="4"/>
  <c r="L2" i="4"/>
  <c r="U3" i="4"/>
  <c r="I3" i="4"/>
  <c r="W4" i="4"/>
  <c r="P4" i="4"/>
  <c r="R3" i="4"/>
  <c r="G4" i="4"/>
  <c r="L4" i="4"/>
  <c r="H3" i="4"/>
  <c r="B4" i="4"/>
  <c r="J3" i="4"/>
  <c r="O3" i="4"/>
  <c r="R4" i="4"/>
  <c r="S3" i="4"/>
  <c r="U4" i="4"/>
  <c r="G3" i="4"/>
  <c r="D3" i="4"/>
  <c r="T2" i="4"/>
  <c r="K3" i="4"/>
  <c r="X3" i="4"/>
  <c r="X2" i="4"/>
  <c r="X4" i="4"/>
  <c r="H2" i="4"/>
  <c r="V2" i="4"/>
  <c r="R2" i="4"/>
  <c r="J2" i="4"/>
  <c r="E3" i="4"/>
  <c r="P3" i="4"/>
  <c r="C3" i="4"/>
  <c r="N2" i="4"/>
  <c r="F4" i="4"/>
  <c r="Q4" i="4"/>
  <c r="T4" i="4"/>
  <c r="L3" i="4"/>
  <c r="I4" i="4"/>
  <c r="M3" i="4"/>
  <c r="O4" i="4"/>
  <c r="C4" i="4"/>
  <c r="S4" i="4"/>
  <c r="P2" i="4"/>
  <c r="V4" i="4"/>
  <c r="V3" i="4"/>
  <c r="Z2" i="4"/>
  <c r="E28" i="6" l="1"/>
  <c r="D164" i="6"/>
  <c r="E164" i="6" s="1"/>
  <c r="D165" i="6"/>
  <c r="E165" i="6" s="1"/>
  <c r="A5" i="3"/>
  <c r="B5" i="3" s="1"/>
  <c r="Z5" i="3" s="1"/>
  <c r="N12" i="6"/>
  <c r="N14" i="6"/>
  <c r="I41" i="7" s="1"/>
  <c r="N13" i="6"/>
  <c r="C206" i="6"/>
  <c r="C205" i="6"/>
  <c r="C207" i="6"/>
  <c r="C209" i="6"/>
  <c r="C208" i="6"/>
  <c r="C210" i="6"/>
  <c r="N196" i="4"/>
  <c r="P194" i="4"/>
  <c r="D238" i="4"/>
  <c r="U216" i="4"/>
  <c r="F108" i="1"/>
  <c r="F107" i="1"/>
  <c r="F106" i="1"/>
  <c r="H18" i="7"/>
  <c r="F109" i="1"/>
  <c r="F105" i="1"/>
  <c r="E101" i="7"/>
  <c r="C171" i="6"/>
  <c r="C170" i="6"/>
  <c r="E49" i="7"/>
  <c r="E18" i="7"/>
  <c r="T13" i="6"/>
  <c r="T12" i="6"/>
  <c r="C174" i="6"/>
  <c r="M13" i="6"/>
  <c r="D171" i="6"/>
  <c r="B50" i="8"/>
  <c r="C50" i="8" s="1"/>
  <c r="D174" i="6"/>
  <c r="B45" i="8"/>
  <c r="C45" i="8" s="1"/>
  <c r="B51" i="8"/>
  <c r="C51" i="8" s="1"/>
  <c r="B43" i="8"/>
  <c r="C43" i="8" s="1"/>
  <c r="B44" i="8"/>
  <c r="C44" i="8" s="1"/>
  <c r="B46" i="8"/>
  <c r="C46" i="8" s="1"/>
  <c r="D172" i="6"/>
  <c r="D170" i="6"/>
  <c r="D173" i="6"/>
  <c r="B48" i="8"/>
  <c r="C48" i="8" s="1"/>
  <c r="B49" i="8"/>
  <c r="C49" i="8" s="1"/>
  <c r="B47" i="8"/>
  <c r="C47" i="8" s="1"/>
  <c r="D59" i="8"/>
  <c r="E59" i="8" s="1"/>
  <c r="D68" i="8"/>
  <c r="F68" i="8" s="1"/>
  <c r="I68" i="8" s="1"/>
  <c r="D61" i="8"/>
  <c r="F61" i="8" s="1"/>
  <c r="I61" i="8" s="1"/>
  <c r="D49" i="8"/>
  <c r="E49" i="8" s="1"/>
  <c r="D53" i="8"/>
  <c r="E53" i="8" s="1"/>
  <c r="M14" i="6"/>
  <c r="C11" i="1" s="1"/>
  <c r="S4" i="3" s="1"/>
  <c r="T4" i="3" s="1"/>
  <c r="U4" i="3" s="1"/>
  <c r="M12" i="6"/>
  <c r="D54" i="8"/>
  <c r="E54" i="8" s="1"/>
  <c r="H54" i="8" s="1"/>
  <c r="D65" i="8"/>
  <c r="E65" i="8" s="1"/>
  <c r="D66" i="8"/>
  <c r="E66" i="8" s="1"/>
  <c r="H66" i="8" s="1"/>
  <c r="D55" i="8"/>
  <c r="F55" i="8" s="1"/>
  <c r="I55" i="8" s="1"/>
  <c r="D64" i="8"/>
  <c r="E64" i="8" s="1"/>
  <c r="H64" i="8" s="1"/>
  <c r="D44" i="8"/>
  <c r="E44" i="8" s="1"/>
  <c r="D67" i="8"/>
  <c r="E67" i="8" s="1"/>
  <c r="H67" i="8" s="1"/>
  <c r="D58" i="8"/>
  <c r="F58" i="8" s="1"/>
  <c r="I58" i="8" s="1"/>
  <c r="D69" i="8"/>
  <c r="F69" i="8" s="1"/>
  <c r="I69" i="8" s="1"/>
  <c r="D57" i="8"/>
  <c r="E57" i="8" s="1"/>
  <c r="D46" i="8"/>
  <c r="F46" i="8" s="1"/>
  <c r="D62" i="8"/>
  <c r="F62" i="8" s="1"/>
  <c r="I62" i="8" s="1"/>
  <c r="D43" i="8"/>
  <c r="E43" i="8" s="1"/>
  <c r="D50" i="8"/>
  <c r="F50" i="8" s="1"/>
  <c r="D48" i="8"/>
  <c r="F48" i="8" s="1"/>
  <c r="D47" i="8"/>
  <c r="E47" i="8" s="1"/>
  <c r="D45" i="8"/>
  <c r="E45" i="8" s="1"/>
  <c r="D52" i="8"/>
  <c r="F52" i="8" s="1"/>
  <c r="I52" i="8" s="1"/>
  <c r="D63" i="8"/>
  <c r="E63" i="8" s="1"/>
  <c r="H63" i="8" s="1"/>
  <c r="D56" i="8"/>
  <c r="F56" i="8" s="1"/>
  <c r="I56" i="8" s="1"/>
  <c r="D60" i="8"/>
  <c r="E60" i="8" s="1"/>
  <c r="D51" i="8"/>
  <c r="E51" i="8" s="1"/>
  <c r="W166" i="4"/>
  <c r="X166" i="4"/>
  <c r="E127" i="6"/>
  <c r="D128" i="6"/>
  <c r="W110" i="4"/>
  <c r="U111" i="4"/>
  <c r="X126" i="4"/>
  <c r="W126" i="4"/>
  <c r="D123" i="4" s="1"/>
  <c r="D118" i="4"/>
  <c r="F118" i="4" s="1"/>
  <c r="D163" i="4"/>
  <c r="F163" i="4" s="1"/>
  <c r="W235" i="4"/>
  <c r="U236" i="4"/>
  <c r="W200" i="4"/>
  <c r="U201" i="4"/>
  <c r="X215" i="4"/>
  <c r="V216" i="4"/>
  <c r="V226" i="4"/>
  <c r="X225" i="4"/>
  <c r="X190" i="4"/>
  <c r="V191" i="4"/>
  <c r="I31" i="6"/>
  <c r="C154" i="6" s="1"/>
  <c r="E29" i="6"/>
  <c r="C191" i="6"/>
  <c r="D153" i="6"/>
  <c r="C192" i="6"/>
  <c r="E35" i="6" l="1"/>
  <c r="O22" i="6" s="1"/>
  <c r="O19" i="6" s="1"/>
  <c r="H28" i="6" s="1"/>
  <c r="C190" i="6" s="1"/>
  <c r="M22" i="6"/>
  <c r="C164" i="6"/>
  <c r="C165" i="6"/>
  <c r="AC5" i="3"/>
  <c r="P5" i="3"/>
  <c r="Q5" i="3" s="1"/>
  <c r="A6" i="3"/>
  <c r="B6" i="3" s="1"/>
  <c r="AC6" i="3" s="1"/>
  <c r="N15" i="6"/>
  <c r="I42" i="7" s="1"/>
  <c r="I50" i="8"/>
  <c r="E50" i="8"/>
  <c r="E110" i="7"/>
  <c r="E48" i="8"/>
  <c r="C25" i="1"/>
  <c r="C32" i="1" s="1"/>
  <c r="K49" i="1" s="1"/>
  <c r="AA5" i="3"/>
  <c r="AD5" i="3"/>
  <c r="F66" i="8"/>
  <c r="I66" i="8" s="1"/>
  <c r="E55" i="8"/>
  <c r="H55" i="8" s="1"/>
  <c r="H65" i="8"/>
  <c r="F65" i="8"/>
  <c r="I65" i="8" s="1"/>
  <c r="F63" i="8"/>
  <c r="I63" i="8" s="1"/>
  <c r="H57" i="8"/>
  <c r="F57" i="8"/>
  <c r="I57" i="8" s="1"/>
  <c r="F64" i="8"/>
  <c r="I64" i="8" s="1"/>
  <c r="F44" i="8"/>
  <c r="I44" i="8" s="1"/>
  <c r="I46" i="8"/>
  <c r="H43" i="8"/>
  <c r="C204" i="6"/>
  <c r="H44" i="8"/>
  <c r="I48" i="8"/>
  <c r="H45" i="8"/>
  <c r="H53" i="8"/>
  <c r="F107" i="7"/>
  <c r="E58" i="7"/>
  <c r="H65" i="7" s="1"/>
  <c r="H60" i="8"/>
  <c r="F53" i="8"/>
  <c r="I53" i="8" s="1"/>
  <c r="H59" i="8"/>
  <c r="J41" i="7"/>
  <c r="E52" i="8"/>
  <c r="H52" i="8" s="1"/>
  <c r="F51" i="8"/>
  <c r="I51" i="8" s="1"/>
  <c r="F67" i="8"/>
  <c r="I67" i="8" s="1"/>
  <c r="E68" i="8"/>
  <c r="H68" i="8" s="1"/>
  <c r="M15" i="6"/>
  <c r="J42" i="7" s="1"/>
  <c r="F59" i="8"/>
  <c r="I59" i="8" s="1"/>
  <c r="F49" i="8"/>
  <c r="I49" i="8" s="1"/>
  <c r="E69" i="8"/>
  <c r="H69" i="8" s="1"/>
  <c r="F54" i="8"/>
  <c r="I54" i="8" s="1"/>
  <c r="Q194" i="4"/>
  <c r="O196" i="4"/>
  <c r="H49" i="8"/>
  <c r="C12" i="8"/>
  <c r="E46" i="8"/>
  <c r="H47" i="8"/>
  <c r="H51" i="8"/>
  <c r="F60" i="8"/>
  <c r="I60" i="8" s="1"/>
  <c r="F45" i="8"/>
  <c r="I45" i="8" s="1"/>
  <c r="F43" i="8"/>
  <c r="I43" i="8" s="1"/>
  <c r="E62" i="8"/>
  <c r="H62" i="8" s="1"/>
  <c r="E61" i="8"/>
  <c r="F47" i="8"/>
  <c r="I47" i="8" s="1"/>
  <c r="E56" i="8"/>
  <c r="H56" i="8" s="1"/>
  <c r="E58" i="8"/>
  <c r="V111" i="4"/>
  <c r="X110" i="4"/>
  <c r="E128" i="6"/>
  <c r="D129" i="6"/>
  <c r="X200" i="4"/>
  <c r="V201" i="4"/>
  <c r="W226" i="4"/>
  <c r="X226" i="4"/>
  <c r="X191" i="4"/>
  <c r="W191" i="4"/>
  <c r="W216" i="4"/>
  <c r="X216" i="4"/>
  <c r="V236" i="4"/>
  <c r="X235" i="4"/>
  <c r="C153" i="6"/>
  <c r="M19" i="6" l="1"/>
  <c r="H31" i="6" s="1"/>
  <c r="H29" i="6" s="1"/>
  <c r="H47" i="7" s="1"/>
  <c r="C150" i="6"/>
  <c r="AA6" i="3"/>
  <c r="H48" i="8"/>
  <c r="P29" i="1"/>
  <c r="A7" i="3"/>
  <c r="B7" i="3" s="1"/>
  <c r="P7" i="3" s="1"/>
  <c r="Q7" i="3" s="1"/>
  <c r="AD6" i="3"/>
  <c r="P6" i="3"/>
  <c r="Q6" i="3" s="1"/>
  <c r="H71" i="7"/>
  <c r="I29" i="6"/>
  <c r="I47" i="7" s="1"/>
  <c r="B192" i="6"/>
  <c r="Z6" i="3"/>
  <c r="H68" i="7"/>
  <c r="H16" i="7"/>
  <c r="P28" i="1"/>
  <c r="H50" i="8"/>
  <c r="C149" i="6"/>
  <c r="C155" i="6"/>
  <c r="H46" i="8"/>
  <c r="H46" i="7"/>
  <c r="D152" i="6"/>
  <c r="H13" i="7"/>
  <c r="H58" i="8"/>
  <c r="R194" i="4"/>
  <c r="P196" i="4"/>
  <c r="F108" i="7"/>
  <c r="D213" i="4"/>
  <c r="F213" i="4" s="1"/>
  <c r="B191" i="6"/>
  <c r="C194" i="6"/>
  <c r="H61" i="8"/>
  <c r="D223" i="4"/>
  <c r="F223" i="4" s="1"/>
  <c r="X111" i="4"/>
  <c r="W111" i="4"/>
  <c r="D108" i="4" s="1"/>
  <c r="D188" i="4"/>
  <c r="F188" i="4" s="1"/>
  <c r="D130" i="6"/>
  <c r="E130" i="6" s="1"/>
  <c r="E129" i="6"/>
  <c r="S28" i="6"/>
  <c r="C193" i="6"/>
  <c r="X236" i="4"/>
  <c r="W236" i="4"/>
  <c r="W201" i="4"/>
  <c r="X201" i="4"/>
  <c r="D198" i="4" s="1"/>
  <c r="D2" i="4"/>
  <c r="B193" i="6" l="1"/>
  <c r="H32" i="6"/>
  <c r="I32" i="6"/>
  <c r="C157" i="6"/>
  <c r="C156" i="6" s="1"/>
  <c r="C152" i="6"/>
  <c r="C151" i="6"/>
  <c r="G57" i="8"/>
  <c r="G65" i="8"/>
  <c r="G49" i="8"/>
  <c r="G59" i="8"/>
  <c r="G51" i="8"/>
  <c r="G64" i="8"/>
  <c r="G54" i="8"/>
  <c r="G63" i="8"/>
  <c r="G44" i="8"/>
  <c r="G45" i="8"/>
  <c r="G53" i="8"/>
  <c r="G43" i="8"/>
  <c r="G60" i="8"/>
  <c r="G47" i="8"/>
  <c r="G66" i="8"/>
  <c r="G67" i="8"/>
  <c r="G48" i="8"/>
  <c r="K48" i="8" s="1"/>
  <c r="M48" i="8" s="1"/>
  <c r="G52" i="8"/>
  <c r="J52" i="8" s="1"/>
  <c r="G68" i="8"/>
  <c r="J68" i="8" s="1"/>
  <c r="G56" i="8"/>
  <c r="J56" i="8" s="1"/>
  <c r="G50" i="8"/>
  <c r="K50" i="8" s="1"/>
  <c r="G61" i="8"/>
  <c r="K61" i="8" s="1"/>
  <c r="M61" i="8" s="1"/>
  <c r="G46" i="8"/>
  <c r="K46" i="8" s="1"/>
  <c r="M46" i="8" s="1"/>
  <c r="G62" i="8"/>
  <c r="J62" i="8" s="1"/>
  <c r="G58" i="8"/>
  <c r="K58" i="8" s="1"/>
  <c r="M58" i="8" s="1"/>
  <c r="G69" i="8"/>
  <c r="J69" i="8" s="1"/>
  <c r="G55" i="8"/>
  <c r="K55" i="8" s="1"/>
  <c r="M55" i="8" s="1"/>
  <c r="F198" i="4"/>
  <c r="A8" i="3"/>
  <c r="B8" i="3" s="1"/>
  <c r="Z8" i="3" s="1"/>
  <c r="Z7" i="3"/>
  <c r="AD7" i="3"/>
  <c r="AA7" i="3"/>
  <c r="AC7" i="3"/>
  <c r="I14" i="7"/>
  <c r="I30" i="6"/>
  <c r="I48" i="7" s="1"/>
  <c r="S29" i="6"/>
  <c r="H14" i="7"/>
  <c r="B194" i="6"/>
  <c r="H30" i="6"/>
  <c r="H48" i="7" s="1"/>
  <c r="B190" i="6"/>
  <c r="S194" i="4"/>
  <c r="Q196" i="4"/>
  <c r="F108" i="4"/>
  <c r="D233" i="4"/>
  <c r="F233" i="4" s="1"/>
  <c r="F2" i="4"/>
  <c r="J58" i="8" l="1"/>
  <c r="L58" i="8" s="1"/>
  <c r="J61" i="8"/>
  <c r="L61" i="8" s="1"/>
  <c r="J46" i="8"/>
  <c r="L46" i="8" s="1"/>
  <c r="J50" i="8"/>
  <c r="L50" i="8" s="1"/>
  <c r="K62" i="8"/>
  <c r="M62" i="8" s="1"/>
  <c r="K69" i="8"/>
  <c r="M69" i="8" s="1"/>
  <c r="J55" i="8"/>
  <c r="L55" i="8" s="1"/>
  <c r="R5" i="3"/>
  <c r="S5" i="3" s="1"/>
  <c r="T5" i="3" s="1"/>
  <c r="R6" i="3"/>
  <c r="R7" i="3"/>
  <c r="K67" i="8"/>
  <c r="M67" i="8" s="1"/>
  <c r="J67" i="8"/>
  <c r="K43" i="8"/>
  <c r="M43" i="8" s="1"/>
  <c r="J43" i="8"/>
  <c r="J48" i="8"/>
  <c r="L48" i="8" s="1"/>
  <c r="J44" i="8"/>
  <c r="K44" i="8"/>
  <c r="M44" i="8" s="1"/>
  <c r="K54" i="8"/>
  <c r="M54" i="8" s="1"/>
  <c r="J54" i="8"/>
  <c r="K51" i="8"/>
  <c r="M51" i="8" s="1"/>
  <c r="J51" i="8"/>
  <c r="K65" i="8"/>
  <c r="M65" i="8" s="1"/>
  <c r="J65" i="8"/>
  <c r="K66" i="8"/>
  <c r="M66" i="8" s="1"/>
  <c r="J66" i="8"/>
  <c r="J47" i="8"/>
  <c r="K47" i="8"/>
  <c r="M47" i="8" s="1"/>
  <c r="J60" i="8"/>
  <c r="K60" i="8"/>
  <c r="M60" i="8" s="1"/>
  <c r="J53" i="8"/>
  <c r="K53" i="8"/>
  <c r="M53" i="8" s="1"/>
  <c r="K56" i="8"/>
  <c r="M56" i="8" s="1"/>
  <c r="J45" i="8"/>
  <c r="K45" i="8"/>
  <c r="M45" i="8" s="1"/>
  <c r="J63" i="8"/>
  <c r="K63" i="8"/>
  <c r="M63" i="8" s="1"/>
  <c r="K52" i="8"/>
  <c r="M52" i="8" s="1"/>
  <c r="J64" i="8"/>
  <c r="K64" i="8"/>
  <c r="M64" i="8" s="1"/>
  <c r="K68" i="8"/>
  <c r="M68" i="8" s="1"/>
  <c r="J59" i="8"/>
  <c r="K59" i="8"/>
  <c r="K49" i="8"/>
  <c r="M49" i="8" s="1"/>
  <c r="J49" i="8"/>
  <c r="J57" i="8"/>
  <c r="K57" i="8"/>
  <c r="M57" i="8" s="1"/>
  <c r="AC8" i="3"/>
  <c r="A9" i="3"/>
  <c r="B9" i="3" s="1"/>
  <c r="P9" i="3" s="1"/>
  <c r="Q9" i="3" s="1"/>
  <c r="R9" i="3" s="1"/>
  <c r="P8" i="3"/>
  <c r="Q8" i="3" s="1"/>
  <c r="R8" i="3" s="1"/>
  <c r="AD8" i="3"/>
  <c r="AA8" i="3"/>
  <c r="I15" i="7"/>
  <c r="M50" i="8"/>
  <c r="H33" i="6"/>
  <c r="S30" i="6"/>
  <c r="H15" i="7"/>
  <c r="R196" i="4"/>
  <c r="T194" i="4"/>
  <c r="L49" i="8" l="1"/>
  <c r="L65" i="8"/>
  <c r="L67" i="8"/>
  <c r="L51" i="8"/>
  <c r="S6" i="3"/>
  <c r="T6" i="3" s="1"/>
  <c r="L66" i="8"/>
  <c r="L43" i="8"/>
  <c r="L56" i="8"/>
  <c r="L68" i="8"/>
  <c r="L69" i="8"/>
  <c r="L62" i="8"/>
  <c r="L52" i="8"/>
  <c r="L54" i="8"/>
  <c r="L44" i="8"/>
  <c r="L57" i="8"/>
  <c r="L63" i="8"/>
  <c r="L45" i="8"/>
  <c r="L53" i="8"/>
  <c r="L60" i="8"/>
  <c r="L47" i="8"/>
  <c r="L59" i="8"/>
  <c r="M59" i="8"/>
  <c r="L64" i="8"/>
  <c r="AG5" i="3"/>
  <c r="AH5" i="3"/>
  <c r="D5" i="3"/>
  <c r="E5" i="3"/>
  <c r="H5" i="3" s="1"/>
  <c r="K5" i="3" s="1"/>
  <c r="AC9" i="3"/>
  <c r="AA9" i="3"/>
  <c r="AD9" i="3"/>
  <c r="Z9" i="3"/>
  <c r="A10" i="3"/>
  <c r="B10" i="3" s="1"/>
  <c r="A11" i="3" s="1"/>
  <c r="B11" i="3" s="1"/>
  <c r="AC11" i="3" s="1"/>
  <c r="U194" i="4"/>
  <c r="S196" i="4"/>
  <c r="S7" i="3" l="1"/>
  <c r="T7" i="3" s="1"/>
  <c r="V5" i="3"/>
  <c r="AE5" i="3"/>
  <c r="G5" i="3"/>
  <c r="F5" i="3"/>
  <c r="AA10" i="3"/>
  <c r="Z10" i="3"/>
  <c r="AD11" i="3"/>
  <c r="A12" i="3"/>
  <c r="B12" i="3" s="1"/>
  <c r="A13" i="3" s="1"/>
  <c r="B13" i="3" s="1"/>
  <c r="Z11" i="3"/>
  <c r="P11" i="3"/>
  <c r="Q11" i="3" s="1"/>
  <c r="R11" i="3" s="1"/>
  <c r="AA11" i="3"/>
  <c r="AD10" i="3"/>
  <c r="P10" i="3"/>
  <c r="Q10" i="3" s="1"/>
  <c r="R10" i="3" s="1"/>
  <c r="AC10" i="3"/>
  <c r="T196" i="4"/>
  <c r="V194" i="4"/>
  <c r="S8" i="3" l="1"/>
  <c r="T8" i="3" s="1"/>
  <c r="I5" i="3"/>
  <c r="W5" i="3" s="1"/>
  <c r="J5" i="3"/>
  <c r="L5" i="3" s="1"/>
  <c r="M5" i="3"/>
  <c r="N5" i="3" s="1"/>
  <c r="P12" i="3"/>
  <c r="Q12" i="3" s="1"/>
  <c r="R12" i="3" s="1"/>
  <c r="AC12" i="3"/>
  <c r="AA12" i="3"/>
  <c r="AD12" i="3"/>
  <c r="Z12" i="3"/>
  <c r="U196" i="4"/>
  <c r="W194" i="4"/>
  <c r="P13" i="3"/>
  <c r="Q13" i="3" s="1"/>
  <c r="R13" i="3" s="1"/>
  <c r="A14" i="3"/>
  <c r="B14" i="3" s="1"/>
  <c r="AC13" i="3"/>
  <c r="AD13" i="3"/>
  <c r="AA13" i="3"/>
  <c r="Z13" i="3"/>
  <c r="S9" i="3" l="1"/>
  <c r="T9" i="3" s="1"/>
  <c r="U5" i="3"/>
  <c r="D6" i="3" s="1"/>
  <c r="G6" i="3" s="1"/>
  <c r="J6" i="3" s="1"/>
  <c r="AG6" i="3"/>
  <c r="AH6" i="3"/>
  <c r="V196" i="4"/>
  <c r="W196" i="4"/>
  <c r="A15" i="3"/>
  <c r="B15" i="3" s="1"/>
  <c r="P14" i="3"/>
  <c r="Q14" i="3" s="1"/>
  <c r="R14" i="3" s="1"/>
  <c r="AD14" i="3"/>
  <c r="AA14" i="3"/>
  <c r="Z14" i="3"/>
  <c r="AC14" i="3"/>
  <c r="S10" i="3" l="1"/>
  <c r="T10" i="3" s="1"/>
  <c r="M6" i="3"/>
  <c r="N6" i="3" s="1"/>
  <c r="E6" i="3"/>
  <c r="H6" i="3" s="1"/>
  <c r="K6" i="3" s="1"/>
  <c r="L6" i="3" s="1"/>
  <c r="D193" i="4"/>
  <c r="AA15" i="3"/>
  <c r="P15" i="3"/>
  <c r="Q15" i="3" s="1"/>
  <c r="R15" i="3" s="1"/>
  <c r="AC15" i="3"/>
  <c r="Z15" i="3"/>
  <c r="AD15" i="3"/>
  <c r="A16" i="3"/>
  <c r="B16" i="3" s="1"/>
  <c r="S11" i="3" l="1"/>
  <c r="T11" i="3" s="1"/>
  <c r="V6" i="3"/>
  <c r="AE6" i="3"/>
  <c r="F6" i="3"/>
  <c r="I6" i="3"/>
  <c r="F193" i="4"/>
  <c r="AA16" i="3"/>
  <c r="AD16" i="3"/>
  <c r="AC16" i="3"/>
  <c r="P16" i="3"/>
  <c r="Q16" i="3" s="1"/>
  <c r="R16" i="3" s="1"/>
  <c r="Z16" i="3"/>
  <c r="A17" i="3"/>
  <c r="B17" i="3" s="1"/>
  <c r="U6" i="3"/>
  <c r="Y5" i="3"/>
  <c r="N36" i="1" l="1"/>
  <c r="M37" i="6"/>
  <c r="S12" i="3"/>
  <c r="S13" i="3" s="1"/>
  <c r="W6" i="3"/>
  <c r="E7" i="3" s="1"/>
  <c r="H7" i="3" s="1"/>
  <c r="P17" i="3"/>
  <c r="Q17" i="3" s="1"/>
  <c r="R17" i="3" s="1"/>
  <c r="A18" i="3"/>
  <c r="B18" i="3" s="1"/>
  <c r="AC17" i="3"/>
  <c r="Z17" i="3"/>
  <c r="AD17" i="3"/>
  <c r="AA17" i="3"/>
  <c r="T12" i="3" l="1"/>
  <c r="AH7" i="3"/>
  <c r="AG7" i="3"/>
  <c r="D7" i="3"/>
  <c r="G7" i="3" s="1"/>
  <c r="M7" i="3" s="1"/>
  <c r="N7" i="3" s="1"/>
  <c r="S14" i="3"/>
  <c r="T13" i="3"/>
  <c r="AA18" i="3"/>
  <c r="P18" i="3"/>
  <c r="Q18" i="3" s="1"/>
  <c r="R18" i="3" s="1"/>
  <c r="AC18" i="3"/>
  <c r="A19" i="3"/>
  <c r="B19" i="3" s="1"/>
  <c r="AD18" i="3"/>
  <c r="Z18" i="3"/>
  <c r="K7" i="3"/>
  <c r="J7" i="3" l="1"/>
  <c r="L7" i="3" s="1"/>
  <c r="I7" i="3"/>
  <c r="F7" i="3"/>
  <c r="S15" i="3"/>
  <c r="T14" i="3"/>
  <c r="P19" i="3"/>
  <c r="Q19" i="3" s="1"/>
  <c r="R19" i="3" s="1"/>
  <c r="A20" i="3"/>
  <c r="B20" i="3" s="1"/>
  <c r="Z19" i="3"/>
  <c r="AD19" i="3"/>
  <c r="AA19" i="3"/>
  <c r="AC19" i="3"/>
  <c r="V7" i="3"/>
  <c r="AE7" i="3"/>
  <c r="W7" i="3" l="1"/>
  <c r="AH8" i="3" s="1"/>
  <c r="T15" i="3"/>
  <c r="S16" i="3"/>
  <c r="U7" i="3"/>
  <c r="Y6" i="3"/>
  <c r="P20" i="3"/>
  <c r="Q20" i="3" s="1"/>
  <c r="R20" i="3" s="1"/>
  <c r="A21" i="3"/>
  <c r="B21" i="3" s="1"/>
  <c r="AA20" i="3"/>
  <c r="Z20" i="3"/>
  <c r="AD20" i="3"/>
  <c r="AC20" i="3"/>
  <c r="AG8" i="3" l="1"/>
  <c r="D8" i="3"/>
  <c r="G8" i="3" s="1"/>
  <c r="T16" i="3"/>
  <c r="S17" i="3"/>
  <c r="E8" i="3"/>
  <c r="H8" i="3" s="1"/>
  <c r="K8" i="3" s="1"/>
  <c r="AD21" i="3"/>
  <c r="P21" i="3"/>
  <c r="Q21" i="3" s="1"/>
  <c r="R21" i="3" s="1"/>
  <c r="AC21" i="3"/>
  <c r="AA21" i="3"/>
  <c r="Z21" i="3"/>
  <c r="A22" i="3"/>
  <c r="B22" i="3" s="1"/>
  <c r="T17" i="3" l="1"/>
  <c r="S18" i="3"/>
  <c r="F8" i="3"/>
  <c r="AC22" i="3"/>
  <c r="A23" i="3"/>
  <c r="B23" i="3" s="1"/>
  <c r="AD22" i="3"/>
  <c r="AA22" i="3"/>
  <c r="Z22" i="3"/>
  <c r="P22" i="3"/>
  <c r="Q22" i="3" s="1"/>
  <c r="R22" i="3" s="1"/>
  <c r="I8" i="3"/>
  <c r="J8" i="3"/>
  <c r="M8" i="3"/>
  <c r="N8" i="3" s="1"/>
  <c r="V8" i="3"/>
  <c r="AE8" i="3"/>
  <c r="S19" i="3" l="1"/>
  <c r="T18" i="3"/>
  <c r="W8" i="3"/>
  <c r="A24" i="3"/>
  <c r="B24" i="3" s="1"/>
  <c r="Z23" i="3"/>
  <c r="AA23" i="3"/>
  <c r="AC23" i="3"/>
  <c r="AD23" i="3"/>
  <c r="P23" i="3"/>
  <c r="Q23" i="3" s="1"/>
  <c r="R23" i="3" s="1"/>
  <c r="L8" i="3"/>
  <c r="S20" i="3" l="1"/>
  <c r="T19" i="3"/>
  <c r="U8" i="3"/>
  <c r="D9" i="3" s="1"/>
  <c r="AH9" i="3"/>
  <c r="AG9" i="3"/>
  <c r="Y7" i="3"/>
  <c r="AA24" i="3"/>
  <c r="Z24" i="3"/>
  <c r="AC24" i="3"/>
  <c r="AD24" i="3"/>
  <c r="A25" i="3"/>
  <c r="B25" i="3" s="1"/>
  <c r="P24" i="3"/>
  <c r="Q24" i="3" s="1"/>
  <c r="R24" i="3" s="1"/>
  <c r="S21" i="3" l="1"/>
  <c r="T20" i="3"/>
  <c r="E9" i="3"/>
  <c r="H9" i="3" s="1"/>
  <c r="K9" i="3" s="1"/>
  <c r="P25" i="3"/>
  <c r="Q25" i="3" s="1"/>
  <c r="R25" i="3" s="1"/>
  <c r="Z25" i="3"/>
  <c r="A26" i="3"/>
  <c r="B26" i="3" s="1"/>
  <c r="AC25" i="3"/>
  <c r="AA25" i="3"/>
  <c r="AD25" i="3"/>
  <c r="G9" i="3"/>
  <c r="T21" i="3" l="1"/>
  <c r="S22" i="3"/>
  <c r="F9" i="3"/>
  <c r="AD26" i="3"/>
  <c r="P26" i="3"/>
  <c r="Q26" i="3" s="1"/>
  <c r="R26" i="3" s="1"/>
  <c r="A27" i="3"/>
  <c r="B27" i="3" s="1"/>
  <c r="AA26" i="3"/>
  <c r="Z26" i="3"/>
  <c r="AC26" i="3"/>
  <c r="V9" i="3"/>
  <c r="AE9" i="3"/>
  <c r="I9" i="3"/>
  <c r="J9" i="3"/>
  <c r="M9" i="3"/>
  <c r="N9" i="3" s="1"/>
  <c r="T22" i="3" l="1"/>
  <c r="S23" i="3"/>
  <c r="W9" i="3"/>
  <c r="P27" i="3"/>
  <c r="Q27" i="3" s="1"/>
  <c r="R27" i="3" s="1"/>
  <c r="Z27" i="3"/>
  <c r="AA27" i="3"/>
  <c r="AD27" i="3"/>
  <c r="A28" i="3"/>
  <c r="B28" i="3" s="1"/>
  <c r="AC27" i="3"/>
  <c r="L9" i="3"/>
  <c r="S24" i="3" l="1"/>
  <c r="T23" i="3"/>
  <c r="Z28" i="3"/>
  <c r="P28" i="3"/>
  <c r="Q28" i="3" s="1"/>
  <c r="R28" i="3" s="1"/>
  <c r="A29" i="3"/>
  <c r="B29" i="3" s="1"/>
  <c r="AA28" i="3"/>
  <c r="AC28" i="3"/>
  <c r="AD28" i="3"/>
  <c r="AH10" i="3"/>
  <c r="U9" i="3"/>
  <c r="E10" i="3" s="1"/>
  <c r="H10" i="3" s="1"/>
  <c r="AG10" i="3"/>
  <c r="Y8" i="3"/>
  <c r="S25" i="3" l="1"/>
  <c r="T24" i="3"/>
  <c r="K10" i="3"/>
  <c r="AC29" i="3"/>
  <c r="P29" i="3"/>
  <c r="Q29" i="3" s="1"/>
  <c r="R29" i="3" s="1"/>
  <c r="A30" i="3"/>
  <c r="B30" i="3" s="1"/>
  <c r="AD29" i="3"/>
  <c r="Z29" i="3"/>
  <c r="AA29" i="3"/>
  <c r="D10" i="3"/>
  <c r="T25" i="3" l="1"/>
  <c r="S26" i="3"/>
  <c r="Z30" i="3"/>
  <c r="P30" i="3"/>
  <c r="Q30" i="3" s="1"/>
  <c r="R30" i="3" s="1"/>
  <c r="AC30" i="3"/>
  <c r="AA30" i="3"/>
  <c r="AD30" i="3"/>
  <c r="A31" i="3"/>
  <c r="B31" i="3" s="1"/>
  <c r="F10" i="3"/>
  <c r="G10" i="3"/>
  <c r="V10" i="3"/>
  <c r="AE10" i="3"/>
  <c r="T26" i="3" l="1"/>
  <c r="S27" i="3"/>
  <c r="I10" i="3"/>
  <c r="W10" i="3" s="1"/>
  <c r="J10" i="3"/>
  <c r="M10" i="3"/>
  <c r="N10" i="3" s="1"/>
  <c r="AC31" i="3"/>
  <c r="A32" i="3"/>
  <c r="B32" i="3" s="1"/>
  <c r="Z31" i="3"/>
  <c r="P31" i="3"/>
  <c r="Q31" i="3" s="1"/>
  <c r="R31" i="3" s="1"/>
  <c r="AD31" i="3"/>
  <c r="AA31" i="3"/>
  <c r="S28" i="3" l="1"/>
  <c r="T27" i="3"/>
  <c r="A33" i="3"/>
  <c r="B33" i="3" s="1"/>
  <c r="Z32" i="3"/>
  <c r="P32" i="3"/>
  <c r="Q32" i="3" s="1"/>
  <c r="R32" i="3" s="1"/>
  <c r="AD32" i="3"/>
  <c r="AC32" i="3"/>
  <c r="AA32" i="3"/>
  <c r="L10" i="3"/>
  <c r="S29" i="3" l="1"/>
  <c r="T28" i="3"/>
  <c r="P33" i="3"/>
  <c r="Q33" i="3" s="1"/>
  <c r="R33" i="3" s="1"/>
  <c r="AC33" i="3"/>
  <c r="A34" i="3"/>
  <c r="B34" i="3" s="1"/>
  <c r="AA33" i="3"/>
  <c r="Z33" i="3"/>
  <c r="AD33" i="3"/>
  <c r="AG11" i="3"/>
  <c r="AH11" i="3"/>
  <c r="U10" i="3"/>
  <c r="E11" i="3" s="1"/>
  <c r="H11" i="3" s="1"/>
  <c r="Y9" i="3"/>
  <c r="T29" i="3" l="1"/>
  <c r="S30" i="3"/>
  <c r="K11" i="3"/>
  <c r="Z34" i="3"/>
  <c r="P34" i="3"/>
  <c r="Q34" i="3" s="1"/>
  <c r="R34" i="3" s="1"/>
  <c r="AC34" i="3"/>
  <c r="AD34" i="3"/>
  <c r="A35" i="3"/>
  <c r="B35" i="3" s="1"/>
  <c r="AA34" i="3"/>
  <c r="D11" i="3"/>
  <c r="S31" i="3" l="1"/>
  <c r="T30" i="3"/>
  <c r="V11" i="3"/>
  <c r="AE11" i="3"/>
  <c r="A36" i="3"/>
  <c r="B36" i="3" s="1"/>
  <c r="Z35" i="3"/>
  <c r="AD35" i="3"/>
  <c r="AA35" i="3"/>
  <c r="AC35" i="3"/>
  <c r="P35" i="3"/>
  <c r="Q35" i="3" s="1"/>
  <c r="R35" i="3" s="1"/>
  <c r="F11" i="3"/>
  <c r="G11" i="3"/>
  <c r="T31" i="3" l="1"/>
  <c r="S32" i="3"/>
  <c r="AD36" i="3"/>
  <c r="AA36" i="3"/>
  <c r="P36" i="3"/>
  <c r="Q36" i="3" s="1"/>
  <c r="R36" i="3" s="1"/>
  <c r="Z36" i="3"/>
  <c r="A37" i="3"/>
  <c r="B37" i="3" s="1"/>
  <c r="AC36" i="3"/>
  <c r="I11" i="3"/>
  <c r="W11" i="3" s="1"/>
  <c r="J11" i="3"/>
  <c r="M11" i="3"/>
  <c r="N11" i="3" s="1"/>
  <c r="T32" i="3" l="1"/>
  <c r="S33" i="3"/>
  <c r="AD37" i="3"/>
  <c r="Z37" i="3"/>
  <c r="AA37" i="3"/>
  <c r="AC37" i="3"/>
  <c r="P37" i="3"/>
  <c r="Q37" i="3" s="1"/>
  <c r="R37" i="3" s="1"/>
  <c r="A38" i="3"/>
  <c r="B38" i="3" s="1"/>
  <c r="L11" i="3"/>
  <c r="S34" i="3" l="1"/>
  <c r="T33" i="3"/>
  <c r="P38" i="3"/>
  <c r="Q38" i="3" s="1"/>
  <c r="R38" i="3" s="1"/>
  <c r="A39" i="3"/>
  <c r="B39" i="3" s="1"/>
  <c r="AC38" i="3"/>
  <c r="AA38" i="3"/>
  <c r="AD38" i="3"/>
  <c r="Z38" i="3"/>
  <c r="AH12" i="3"/>
  <c r="U11" i="3"/>
  <c r="E12" i="3" s="1"/>
  <c r="H12" i="3" s="1"/>
  <c r="AG12" i="3"/>
  <c r="Y10" i="3"/>
  <c r="S35" i="3" l="1"/>
  <c r="T34" i="3"/>
  <c r="D12" i="3"/>
  <c r="G12" i="3" s="1"/>
  <c r="K12" i="3"/>
  <c r="AC39" i="3"/>
  <c r="P39" i="3"/>
  <c r="Q39" i="3" s="1"/>
  <c r="R39" i="3" s="1"/>
  <c r="AD39" i="3"/>
  <c r="Z39" i="3"/>
  <c r="A40" i="3"/>
  <c r="B40" i="3" s="1"/>
  <c r="AA39" i="3"/>
  <c r="T35" i="3" l="1"/>
  <c r="S36" i="3"/>
  <c r="F12" i="3"/>
  <c r="P40" i="3"/>
  <c r="Q40" i="3" s="1"/>
  <c r="R40" i="3" s="1"/>
  <c r="AA40" i="3"/>
  <c r="A41" i="3"/>
  <c r="B41" i="3" s="1"/>
  <c r="AC40" i="3"/>
  <c r="Z40" i="3"/>
  <c r="AD40" i="3"/>
  <c r="V12" i="3"/>
  <c r="AE12" i="3"/>
  <c r="I12" i="3"/>
  <c r="J12" i="3"/>
  <c r="M12" i="3"/>
  <c r="N12" i="3" s="1"/>
  <c r="T36" i="3" l="1"/>
  <c r="S37" i="3"/>
  <c r="W12" i="3"/>
  <c r="P41" i="3"/>
  <c r="Q41" i="3" s="1"/>
  <c r="R41" i="3" s="1"/>
  <c r="AC41" i="3"/>
  <c r="A42" i="3"/>
  <c r="B42" i="3" s="1"/>
  <c r="AA41" i="3"/>
  <c r="Z41" i="3"/>
  <c r="AD41" i="3"/>
  <c r="L12" i="3"/>
  <c r="S38" i="3" l="1"/>
  <c r="T37" i="3"/>
  <c r="AG13" i="3"/>
  <c r="U12" i="3"/>
  <c r="E13" i="3" s="1"/>
  <c r="H13" i="3" s="1"/>
  <c r="AH13" i="3"/>
  <c r="Y11" i="3"/>
  <c r="P42" i="3"/>
  <c r="Q42" i="3" s="1"/>
  <c r="R42" i="3" s="1"/>
  <c r="Z42" i="3"/>
  <c r="AA42" i="3"/>
  <c r="A43" i="3"/>
  <c r="B43" i="3" s="1"/>
  <c r="AD42" i="3"/>
  <c r="AC42" i="3"/>
  <c r="S39" i="3" l="1"/>
  <c r="T38" i="3"/>
  <c r="D13" i="3"/>
  <c r="F13" i="3" s="1"/>
  <c r="K13" i="3"/>
  <c r="AC43" i="3"/>
  <c r="P43" i="3"/>
  <c r="Q43" i="3" s="1"/>
  <c r="R43" i="3" s="1"/>
  <c r="AD43" i="3"/>
  <c r="Z43" i="3"/>
  <c r="A44" i="3"/>
  <c r="B44" i="3" s="1"/>
  <c r="AA43" i="3"/>
  <c r="S40" i="3" l="1"/>
  <c r="T39" i="3"/>
  <c r="G13" i="3"/>
  <c r="I13" i="3" s="1"/>
  <c r="AA44" i="3"/>
  <c r="P44" i="3"/>
  <c r="Q44" i="3" s="1"/>
  <c r="R44" i="3" s="1"/>
  <c r="AD44" i="3"/>
  <c r="A45" i="3"/>
  <c r="B45" i="3" s="1"/>
  <c r="Z44" i="3"/>
  <c r="AC44" i="3"/>
  <c r="V13" i="3"/>
  <c r="AE13" i="3"/>
  <c r="S41" i="3" l="1"/>
  <c r="T40" i="3"/>
  <c r="J13" i="3"/>
  <c r="L13" i="3" s="1"/>
  <c r="M13" i="3"/>
  <c r="N13" i="3" s="1"/>
  <c r="P45" i="3"/>
  <c r="Q45" i="3" s="1"/>
  <c r="R45" i="3" s="1"/>
  <c r="A46" i="3"/>
  <c r="B46" i="3" s="1"/>
  <c r="AA45" i="3"/>
  <c r="AD45" i="3"/>
  <c r="Z45" i="3"/>
  <c r="AC45" i="3"/>
  <c r="W13" i="3"/>
  <c r="T41" i="3" l="1"/>
  <c r="S42" i="3"/>
  <c r="P46" i="3"/>
  <c r="Q46" i="3" s="1"/>
  <c r="R46" i="3" s="1"/>
  <c r="AA46" i="3"/>
  <c r="AD46" i="3"/>
  <c r="A47" i="3"/>
  <c r="B47" i="3" s="1"/>
  <c r="Z46" i="3"/>
  <c r="AC46" i="3"/>
  <c r="AH14" i="3"/>
  <c r="AG14" i="3"/>
  <c r="U13" i="3"/>
  <c r="D14" i="3" s="1"/>
  <c r="Y12" i="3"/>
  <c r="S43" i="3" l="1"/>
  <c r="T42" i="3"/>
  <c r="E14" i="3"/>
  <c r="H14" i="3" s="1"/>
  <c r="K14" i="3" s="1"/>
  <c r="AD47" i="3"/>
  <c r="AA47" i="3"/>
  <c r="P47" i="3"/>
  <c r="Q47" i="3" s="1"/>
  <c r="R47" i="3" s="1"/>
  <c r="A48" i="3"/>
  <c r="B48" i="3" s="1"/>
  <c r="Z47" i="3"/>
  <c r="AC47" i="3"/>
  <c r="G14" i="3"/>
  <c r="S44" i="3" l="1"/>
  <c r="T43" i="3"/>
  <c r="F14" i="3"/>
  <c r="AC48" i="3"/>
  <c r="Z48" i="3"/>
  <c r="AA48" i="3"/>
  <c r="A49" i="3"/>
  <c r="B49" i="3" s="1"/>
  <c r="AD48" i="3"/>
  <c r="P48" i="3"/>
  <c r="Q48" i="3" s="1"/>
  <c r="R48" i="3" s="1"/>
  <c r="V14" i="3"/>
  <c r="AE14" i="3"/>
  <c r="I14" i="3"/>
  <c r="J14" i="3"/>
  <c r="M14" i="3"/>
  <c r="N14" i="3" s="1"/>
  <c r="S45" i="3" l="1"/>
  <c r="T44" i="3"/>
  <c r="A50" i="3"/>
  <c r="B50" i="3" s="1"/>
  <c r="P49" i="3"/>
  <c r="Q49" i="3" s="1"/>
  <c r="R49" i="3" s="1"/>
  <c r="AC49" i="3"/>
  <c r="AD49" i="3"/>
  <c r="AA49" i="3"/>
  <c r="Z49" i="3"/>
  <c r="W14" i="3"/>
  <c r="L14" i="3"/>
  <c r="T45" i="3" l="1"/>
  <c r="S46" i="3"/>
  <c r="U14" i="3"/>
  <c r="E15" i="3" s="1"/>
  <c r="H15" i="3" s="1"/>
  <c r="AG15" i="3"/>
  <c r="AH15" i="3"/>
  <c r="Y13" i="3"/>
  <c r="Z50" i="3"/>
  <c r="AA50" i="3"/>
  <c r="P50" i="3"/>
  <c r="Q50" i="3" s="1"/>
  <c r="R50" i="3" s="1"/>
  <c r="A51" i="3"/>
  <c r="B51" i="3" s="1"/>
  <c r="AD50" i="3"/>
  <c r="AC50" i="3"/>
  <c r="T46" i="3" l="1"/>
  <c r="S47" i="3"/>
  <c r="D15" i="3"/>
  <c r="F15" i="3" s="1"/>
  <c r="AD51" i="3"/>
  <c r="A52" i="3"/>
  <c r="B52" i="3" s="1"/>
  <c r="P51" i="3"/>
  <c r="Q51" i="3" s="1"/>
  <c r="R51" i="3" s="1"/>
  <c r="AA51" i="3"/>
  <c r="Z51" i="3"/>
  <c r="AC51" i="3"/>
  <c r="K15" i="3"/>
  <c r="T47" i="3" l="1"/>
  <c r="S48" i="3"/>
  <c r="G15" i="3"/>
  <c r="I15" i="3" s="1"/>
  <c r="A53" i="3"/>
  <c r="B53" i="3" s="1"/>
  <c r="AC52" i="3"/>
  <c r="P52" i="3"/>
  <c r="Q52" i="3" s="1"/>
  <c r="R52" i="3" s="1"/>
  <c r="AA52" i="3"/>
  <c r="AD52" i="3"/>
  <c r="Z52" i="3"/>
  <c r="V15" i="3"/>
  <c r="AE15" i="3"/>
  <c r="T48" i="3" l="1"/>
  <c r="S49" i="3"/>
  <c r="J15" i="3"/>
  <c r="L15" i="3" s="1"/>
  <c r="M15" i="3"/>
  <c r="N15" i="3" s="1"/>
  <c r="A54" i="3"/>
  <c r="B54" i="3" s="1"/>
  <c r="AD53" i="3"/>
  <c r="P53" i="3"/>
  <c r="Q53" i="3" s="1"/>
  <c r="R53" i="3" s="1"/>
  <c r="AA53" i="3"/>
  <c r="AC53" i="3"/>
  <c r="Z53" i="3"/>
  <c r="W15" i="3"/>
  <c r="S50" i="3" l="1"/>
  <c r="T49" i="3"/>
  <c r="AC54" i="3"/>
  <c r="P54" i="3"/>
  <c r="Q54" i="3" s="1"/>
  <c r="R54" i="3" s="1"/>
  <c r="A55" i="3"/>
  <c r="B55" i="3" s="1"/>
  <c r="AA54" i="3"/>
  <c r="Z54" i="3"/>
  <c r="AD54" i="3"/>
  <c r="U15" i="3"/>
  <c r="D16" i="3" s="1"/>
  <c r="AG16" i="3"/>
  <c r="AH16" i="3"/>
  <c r="Y14" i="3"/>
  <c r="S51" i="3" l="1"/>
  <c r="T50" i="3"/>
  <c r="E16" i="3"/>
  <c r="H16" i="3" s="1"/>
  <c r="K16" i="3" s="1"/>
  <c r="G16" i="3"/>
  <c r="P55" i="3"/>
  <c r="Q55" i="3" s="1"/>
  <c r="R55" i="3" s="1"/>
  <c r="A56" i="3"/>
  <c r="B56" i="3" s="1"/>
  <c r="AC55" i="3"/>
  <c r="AA55" i="3"/>
  <c r="Z55" i="3"/>
  <c r="AD55" i="3"/>
  <c r="T51" i="3" l="1"/>
  <c r="S52" i="3"/>
  <c r="F16" i="3"/>
  <c r="P56" i="3"/>
  <c r="Q56" i="3" s="1"/>
  <c r="R56" i="3" s="1"/>
  <c r="AA56" i="3"/>
  <c r="A57" i="3"/>
  <c r="B57" i="3" s="1"/>
  <c r="AD56" i="3"/>
  <c r="Z56" i="3"/>
  <c r="AC56" i="3"/>
  <c r="I16" i="3"/>
  <c r="J16" i="3"/>
  <c r="M16" i="3"/>
  <c r="N16" i="3" s="1"/>
  <c r="V16" i="3"/>
  <c r="AE16" i="3"/>
  <c r="S53" i="3" l="1"/>
  <c r="T52" i="3"/>
  <c r="AD57" i="3"/>
  <c r="AA57" i="3"/>
  <c r="A58" i="3"/>
  <c r="B58" i="3" s="1"/>
  <c r="AC57" i="3"/>
  <c r="P57" i="3"/>
  <c r="Q57" i="3" s="1"/>
  <c r="R57" i="3" s="1"/>
  <c r="Z57" i="3"/>
  <c r="L16" i="3"/>
  <c r="W16" i="3"/>
  <c r="S54" i="3" l="1"/>
  <c r="T53" i="3"/>
  <c r="Z58" i="3"/>
  <c r="AD58" i="3"/>
  <c r="AA58" i="3"/>
  <c r="P58" i="3"/>
  <c r="Q58" i="3" s="1"/>
  <c r="R58" i="3" s="1"/>
  <c r="A59" i="3"/>
  <c r="B59" i="3" s="1"/>
  <c r="AC58" i="3"/>
  <c r="U16" i="3"/>
  <c r="D17" i="3" s="1"/>
  <c r="AG17" i="3"/>
  <c r="AH17" i="3"/>
  <c r="Y15" i="3"/>
  <c r="S55" i="3" l="1"/>
  <c r="T54" i="3"/>
  <c r="G17" i="3"/>
  <c r="P59" i="3"/>
  <c r="Q59" i="3" s="1"/>
  <c r="R59" i="3" s="1"/>
  <c r="A60" i="3"/>
  <c r="B60" i="3" s="1"/>
  <c r="AC59" i="3"/>
  <c r="AD59" i="3"/>
  <c r="Z59" i="3"/>
  <c r="AA59" i="3"/>
  <c r="E17" i="3"/>
  <c r="H17" i="3" s="1"/>
  <c r="S56" i="3" l="1"/>
  <c r="T55" i="3"/>
  <c r="AC60" i="3"/>
  <c r="AD60" i="3"/>
  <c r="Z60" i="3"/>
  <c r="P60" i="3"/>
  <c r="Q60" i="3" s="1"/>
  <c r="R60" i="3" s="1"/>
  <c r="A61" i="3"/>
  <c r="B61" i="3" s="1"/>
  <c r="AA60" i="3"/>
  <c r="F17" i="3"/>
  <c r="I17" i="3"/>
  <c r="J17" i="3"/>
  <c r="M17" i="3"/>
  <c r="N17" i="3" s="1"/>
  <c r="K17" i="3"/>
  <c r="S57" i="3" l="1"/>
  <c r="T56" i="3"/>
  <c r="A62" i="3"/>
  <c r="B62" i="3" s="1"/>
  <c r="Z61" i="3"/>
  <c r="AD61" i="3"/>
  <c r="AC61" i="3"/>
  <c r="P61" i="3"/>
  <c r="Q61" i="3" s="1"/>
  <c r="R61" i="3" s="1"/>
  <c r="AA61" i="3"/>
  <c r="V17" i="3"/>
  <c r="W17" i="3" s="1"/>
  <c r="AE17" i="3"/>
  <c r="L17" i="3"/>
  <c r="S58" i="3" l="1"/>
  <c r="T57" i="3"/>
  <c r="AD62" i="3"/>
  <c r="P62" i="3"/>
  <c r="Q62" i="3" s="1"/>
  <c r="R62" i="3" s="1"/>
  <c r="Z62" i="3"/>
  <c r="AA62" i="3"/>
  <c r="AC62" i="3"/>
  <c r="A63" i="3"/>
  <c r="B63" i="3" s="1"/>
  <c r="U17" i="3"/>
  <c r="E18" i="3" s="1"/>
  <c r="H18" i="3" s="1"/>
  <c r="AG18" i="3"/>
  <c r="AH18" i="3"/>
  <c r="Y16" i="3"/>
  <c r="S59" i="3" l="1"/>
  <c r="T58" i="3"/>
  <c r="D18" i="3"/>
  <c r="G18" i="3" s="1"/>
  <c r="K18" i="3"/>
  <c r="AC63" i="3"/>
  <c r="AA63" i="3"/>
  <c r="A64" i="3"/>
  <c r="B64" i="3" s="1"/>
  <c r="AD63" i="3"/>
  <c r="P63" i="3"/>
  <c r="Q63" i="3" s="1"/>
  <c r="R63" i="3" s="1"/>
  <c r="Z63" i="3"/>
  <c r="T59" i="3" l="1"/>
  <c r="S60" i="3"/>
  <c r="F18" i="3"/>
  <c r="I18" i="3"/>
  <c r="J18" i="3"/>
  <c r="M18" i="3"/>
  <c r="N18" i="3" s="1"/>
  <c r="A65" i="3"/>
  <c r="B65" i="3" s="1"/>
  <c r="Z64" i="3"/>
  <c r="AA64" i="3"/>
  <c r="AC64" i="3"/>
  <c r="AD64" i="3"/>
  <c r="P64" i="3"/>
  <c r="Q64" i="3" s="1"/>
  <c r="R64" i="3" s="1"/>
  <c r="V18" i="3"/>
  <c r="AE18" i="3"/>
  <c r="T60" i="3" l="1"/>
  <c r="S61" i="3"/>
  <c r="Z65" i="3"/>
  <c r="AA65" i="3"/>
  <c r="A66" i="3"/>
  <c r="B66" i="3" s="1"/>
  <c r="AC65" i="3"/>
  <c r="P65" i="3"/>
  <c r="Q65" i="3" s="1"/>
  <c r="R65" i="3" s="1"/>
  <c r="AD65" i="3"/>
  <c r="L18" i="3"/>
  <c r="W18" i="3"/>
  <c r="T61" i="3" l="1"/>
  <c r="S62" i="3"/>
  <c r="A67" i="3"/>
  <c r="B67" i="3" s="1"/>
  <c r="P66" i="3"/>
  <c r="Q66" i="3" s="1"/>
  <c r="R66" i="3" s="1"/>
  <c r="AC66" i="3"/>
  <c r="Z66" i="3"/>
  <c r="AD66" i="3"/>
  <c r="AA66" i="3"/>
  <c r="U18" i="3"/>
  <c r="D19" i="3" s="1"/>
  <c r="AH19" i="3"/>
  <c r="AG19" i="3"/>
  <c r="Y17" i="3"/>
  <c r="S63" i="3" l="1"/>
  <c r="T62" i="3"/>
  <c r="G19" i="3"/>
  <c r="E19" i="3"/>
  <c r="H19" i="3" s="1"/>
  <c r="AA67" i="3"/>
  <c r="Z67" i="3"/>
  <c r="AD67" i="3"/>
  <c r="AC67" i="3"/>
  <c r="P67" i="3"/>
  <c r="Q67" i="3" s="1"/>
  <c r="R67" i="3" s="1"/>
  <c r="A68" i="3"/>
  <c r="B68" i="3" s="1"/>
  <c r="T63" i="3" l="1"/>
  <c r="S64" i="3"/>
  <c r="F19" i="3"/>
  <c r="AD68" i="3"/>
  <c r="AC68" i="3"/>
  <c r="Z68" i="3"/>
  <c r="AA68" i="3"/>
  <c r="A69" i="3"/>
  <c r="B69" i="3" s="1"/>
  <c r="P68" i="3"/>
  <c r="Q68" i="3" s="1"/>
  <c r="R68" i="3" s="1"/>
  <c r="I19" i="3"/>
  <c r="J19" i="3"/>
  <c r="M19" i="3"/>
  <c r="N19" i="3" s="1"/>
  <c r="K19" i="3"/>
  <c r="S65" i="3" l="1"/>
  <c r="T64" i="3"/>
  <c r="Z69" i="3"/>
  <c r="AC69" i="3"/>
  <c r="P69" i="3"/>
  <c r="Q69" i="3" s="1"/>
  <c r="R69" i="3" s="1"/>
  <c r="AA69" i="3"/>
  <c r="AD69" i="3"/>
  <c r="A70" i="3"/>
  <c r="B70" i="3" s="1"/>
  <c r="V19" i="3"/>
  <c r="W19" i="3" s="1"/>
  <c r="AE19" i="3"/>
  <c r="L19" i="3"/>
  <c r="T65" i="3" l="1"/>
  <c r="S66" i="3"/>
  <c r="AH20" i="3"/>
  <c r="U19" i="3"/>
  <c r="E20" i="3" s="1"/>
  <c r="H20" i="3" s="1"/>
  <c r="AG20" i="3"/>
  <c r="Y18" i="3"/>
  <c r="A71" i="3"/>
  <c r="B71" i="3" s="1"/>
  <c r="AC70" i="3"/>
  <c r="AA70" i="3"/>
  <c r="AD70" i="3"/>
  <c r="P70" i="3"/>
  <c r="Q70" i="3" s="1"/>
  <c r="R70" i="3" s="1"/>
  <c r="Z70" i="3"/>
  <c r="S67" i="3" l="1"/>
  <c r="T66" i="3"/>
  <c r="D20" i="3"/>
  <c r="G20" i="3" s="1"/>
  <c r="K20" i="3"/>
  <c r="AA71" i="3"/>
  <c r="A72" i="3"/>
  <c r="B72" i="3" s="1"/>
  <c r="AC71" i="3"/>
  <c r="Z71" i="3"/>
  <c r="AD71" i="3"/>
  <c r="P71" i="3"/>
  <c r="Q71" i="3" s="1"/>
  <c r="R71" i="3" s="1"/>
  <c r="S68" i="3" l="1"/>
  <c r="T67" i="3"/>
  <c r="F20" i="3"/>
  <c r="A73" i="3"/>
  <c r="B73" i="3" s="1"/>
  <c r="Z72" i="3"/>
  <c r="P72" i="3"/>
  <c r="Q72" i="3" s="1"/>
  <c r="R72" i="3" s="1"/>
  <c r="AD72" i="3"/>
  <c r="AA72" i="3"/>
  <c r="AC72" i="3"/>
  <c r="V20" i="3"/>
  <c r="AE20" i="3"/>
  <c r="I20" i="3"/>
  <c r="J20" i="3"/>
  <c r="M20" i="3"/>
  <c r="N20" i="3" s="1"/>
  <c r="S69" i="3" l="1"/>
  <c r="T68" i="3"/>
  <c r="AC73" i="3"/>
  <c r="A74" i="3"/>
  <c r="B74" i="3" s="1"/>
  <c r="Z73" i="3"/>
  <c r="AA73" i="3"/>
  <c r="AD73" i="3"/>
  <c r="P73" i="3"/>
  <c r="Q73" i="3" s="1"/>
  <c r="R73" i="3" s="1"/>
  <c r="L20" i="3"/>
  <c r="W20" i="3"/>
  <c r="T69" i="3" l="1"/>
  <c r="S70" i="3"/>
  <c r="AD74" i="3"/>
  <c r="P74" i="3"/>
  <c r="Q74" i="3" s="1"/>
  <c r="R74" i="3" s="1"/>
  <c r="AC74" i="3"/>
  <c r="A75" i="3"/>
  <c r="B75" i="3" s="1"/>
  <c r="AA74" i="3"/>
  <c r="Z74" i="3"/>
  <c r="AG21" i="3"/>
  <c r="U20" i="3"/>
  <c r="E21" i="3" s="1"/>
  <c r="H21" i="3" s="1"/>
  <c r="AH21" i="3"/>
  <c r="Y19" i="3"/>
  <c r="T70" i="3" l="1"/>
  <c r="S71" i="3"/>
  <c r="D21" i="3"/>
  <c r="G21" i="3" s="1"/>
  <c r="K21" i="3"/>
  <c r="P75" i="3"/>
  <c r="Q75" i="3" s="1"/>
  <c r="R75" i="3" s="1"/>
  <c r="Z75" i="3"/>
  <c r="A76" i="3"/>
  <c r="B76" i="3" s="1"/>
  <c r="AA75" i="3"/>
  <c r="AC75" i="3"/>
  <c r="AD75" i="3"/>
  <c r="S72" i="3" l="1"/>
  <c r="T71" i="3"/>
  <c r="F21" i="3"/>
  <c r="AC76" i="3"/>
  <c r="Z76" i="3"/>
  <c r="AD76" i="3"/>
  <c r="AA76" i="3"/>
  <c r="A77" i="3"/>
  <c r="B77" i="3" s="1"/>
  <c r="P76" i="3"/>
  <c r="Q76" i="3" s="1"/>
  <c r="R76" i="3" s="1"/>
  <c r="I21" i="3"/>
  <c r="J21" i="3"/>
  <c r="M21" i="3"/>
  <c r="N21" i="3" s="1"/>
  <c r="V21" i="3"/>
  <c r="AE21" i="3"/>
  <c r="S73" i="3" l="1"/>
  <c r="T72" i="3"/>
  <c r="W21" i="3"/>
  <c r="A78" i="3"/>
  <c r="B78" i="3" s="1"/>
  <c r="AA77" i="3"/>
  <c r="Z77" i="3"/>
  <c r="P77" i="3"/>
  <c r="Q77" i="3" s="1"/>
  <c r="R77" i="3" s="1"/>
  <c r="AD77" i="3"/>
  <c r="AC77" i="3"/>
  <c r="L21" i="3"/>
  <c r="T73" i="3" l="1"/>
  <c r="S74" i="3"/>
  <c r="AG22" i="3"/>
  <c r="U21" i="3"/>
  <c r="D22" i="3" s="1"/>
  <c r="AH22" i="3"/>
  <c r="Y20" i="3"/>
  <c r="A79" i="3"/>
  <c r="B79" i="3" s="1"/>
  <c r="AD78" i="3"/>
  <c r="P78" i="3"/>
  <c r="Q78" i="3" s="1"/>
  <c r="R78" i="3" s="1"/>
  <c r="AC78" i="3"/>
  <c r="AA78" i="3"/>
  <c r="Z78" i="3"/>
  <c r="S75" i="3" l="1"/>
  <c r="T74" i="3"/>
  <c r="G22" i="3"/>
  <c r="E22" i="3"/>
  <c r="H22" i="3" s="1"/>
  <c r="P79" i="3"/>
  <c r="Q79" i="3" s="1"/>
  <c r="R79" i="3" s="1"/>
  <c r="A80" i="3"/>
  <c r="B80" i="3" s="1"/>
  <c r="Z79" i="3"/>
  <c r="AC79" i="3"/>
  <c r="AA79" i="3"/>
  <c r="AD79" i="3"/>
  <c r="T75" i="3" l="1"/>
  <c r="S76" i="3"/>
  <c r="AA80" i="3"/>
  <c r="A81" i="3"/>
  <c r="B81" i="3" s="1"/>
  <c r="AD80" i="3"/>
  <c r="AC80" i="3"/>
  <c r="P80" i="3"/>
  <c r="Q80" i="3" s="1"/>
  <c r="R80" i="3" s="1"/>
  <c r="Z80" i="3"/>
  <c r="I22" i="3"/>
  <c r="J22" i="3"/>
  <c r="M22" i="3"/>
  <c r="N22" i="3" s="1"/>
  <c r="K22" i="3"/>
  <c r="F22" i="3"/>
  <c r="S77" i="3" l="1"/>
  <c r="T76" i="3"/>
  <c r="L22" i="3"/>
  <c r="Z81" i="3"/>
  <c r="AC81" i="3"/>
  <c r="A82" i="3"/>
  <c r="B82" i="3" s="1"/>
  <c r="AA81" i="3"/>
  <c r="AD81" i="3"/>
  <c r="P81" i="3"/>
  <c r="Q81" i="3" s="1"/>
  <c r="R81" i="3" s="1"/>
  <c r="V22" i="3"/>
  <c r="W22" i="3" s="1"/>
  <c r="AE22" i="3"/>
  <c r="T77" i="3" l="1"/>
  <c r="S78" i="3"/>
  <c r="U22" i="3"/>
  <c r="E23" i="3" s="1"/>
  <c r="H23" i="3" s="1"/>
  <c r="AH23" i="3"/>
  <c r="AG23" i="3"/>
  <c r="Y21" i="3"/>
  <c r="A83" i="3"/>
  <c r="B83" i="3" s="1"/>
  <c r="P82" i="3"/>
  <c r="Q82" i="3" s="1"/>
  <c r="R82" i="3" s="1"/>
  <c r="AC82" i="3"/>
  <c r="AA82" i="3"/>
  <c r="Z82" i="3"/>
  <c r="AD82" i="3"/>
  <c r="S79" i="3" l="1"/>
  <c r="T78" i="3"/>
  <c r="AA83" i="3"/>
  <c r="AC83" i="3"/>
  <c r="P83" i="3"/>
  <c r="Q83" i="3" s="1"/>
  <c r="R83" i="3" s="1"/>
  <c r="Z83" i="3"/>
  <c r="AD83" i="3"/>
  <c r="A84" i="3"/>
  <c r="B84" i="3" s="1"/>
  <c r="K23" i="3"/>
  <c r="D23" i="3"/>
  <c r="S80" i="3" l="1"/>
  <c r="T79" i="3"/>
  <c r="AA84" i="3"/>
  <c r="Z84" i="3"/>
  <c r="A85" i="3"/>
  <c r="B85" i="3" s="1"/>
  <c r="P84" i="3"/>
  <c r="Q84" i="3" s="1"/>
  <c r="R84" i="3" s="1"/>
  <c r="AD84" i="3"/>
  <c r="AC84" i="3"/>
  <c r="V23" i="3"/>
  <c r="AE23" i="3"/>
  <c r="F23" i="3"/>
  <c r="G23" i="3"/>
  <c r="T80" i="3" l="1"/>
  <c r="S81" i="3"/>
  <c r="A86" i="3"/>
  <c r="B86" i="3" s="1"/>
  <c r="P85" i="3"/>
  <c r="Q85" i="3" s="1"/>
  <c r="R85" i="3" s="1"/>
  <c r="AA85" i="3"/>
  <c r="AC85" i="3"/>
  <c r="Z85" i="3"/>
  <c r="AD85" i="3"/>
  <c r="I23" i="3"/>
  <c r="W23" i="3" s="1"/>
  <c r="J23" i="3"/>
  <c r="M23" i="3"/>
  <c r="N23" i="3" s="1"/>
  <c r="T81" i="3" l="1"/>
  <c r="S82" i="3"/>
  <c r="AC86" i="3"/>
  <c r="Z86" i="3"/>
  <c r="P86" i="3"/>
  <c r="Q86" i="3" s="1"/>
  <c r="R86" i="3" s="1"/>
  <c r="AA86" i="3"/>
  <c r="A87" i="3"/>
  <c r="B87" i="3" s="1"/>
  <c r="AD86" i="3"/>
  <c r="L23" i="3"/>
  <c r="T82" i="3" l="1"/>
  <c r="S83" i="3"/>
  <c r="P87" i="3"/>
  <c r="Q87" i="3" s="1"/>
  <c r="R87" i="3" s="1"/>
  <c r="Z87" i="3"/>
  <c r="A88" i="3"/>
  <c r="B88" i="3" s="1"/>
  <c r="AD87" i="3"/>
  <c r="AC87" i="3"/>
  <c r="AA87" i="3"/>
  <c r="AG24" i="3"/>
  <c r="AH24" i="3"/>
  <c r="U23" i="3"/>
  <c r="E24" i="3" s="1"/>
  <c r="H24" i="3" s="1"/>
  <c r="Y22" i="3"/>
  <c r="T83" i="3" l="1"/>
  <c r="S84" i="3"/>
  <c r="D24" i="3"/>
  <c r="G24" i="3" s="1"/>
  <c r="A89" i="3"/>
  <c r="B89" i="3" s="1"/>
  <c r="P88" i="3"/>
  <c r="Q88" i="3" s="1"/>
  <c r="R88" i="3" s="1"/>
  <c r="AC88" i="3"/>
  <c r="Z88" i="3"/>
  <c r="AA88" i="3"/>
  <c r="AD88" i="3"/>
  <c r="K24" i="3"/>
  <c r="T84" i="3" l="1"/>
  <c r="S85" i="3"/>
  <c r="F24" i="3"/>
  <c r="AD89" i="3"/>
  <c r="AC89" i="3"/>
  <c r="P89" i="3"/>
  <c r="Q89" i="3" s="1"/>
  <c r="R89" i="3" s="1"/>
  <c r="Z89" i="3"/>
  <c r="AA89" i="3"/>
  <c r="A90" i="3"/>
  <c r="B90" i="3" s="1"/>
  <c r="V24" i="3"/>
  <c r="AE24" i="3"/>
  <c r="I24" i="3"/>
  <c r="J24" i="3"/>
  <c r="M24" i="3"/>
  <c r="N24" i="3" s="1"/>
  <c r="T85" i="3" l="1"/>
  <c r="S86" i="3"/>
  <c r="A91" i="3"/>
  <c r="B91" i="3" s="1"/>
  <c r="P90" i="3"/>
  <c r="Q90" i="3" s="1"/>
  <c r="R90" i="3" s="1"/>
  <c r="AC90" i="3"/>
  <c r="Z90" i="3"/>
  <c r="AA90" i="3"/>
  <c r="AD90" i="3"/>
  <c r="L24" i="3"/>
  <c r="W24" i="3"/>
  <c r="T86" i="3" l="1"/>
  <c r="S87" i="3"/>
  <c r="P91" i="3"/>
  <c r="Q91" i="3" s="1"/>
  <c r="R91" i="3" s="1"/>
  <c r="AD91" i="3"/>
  <c r="AA91" i="3"/>
  <c r="A92" i="3"/>
  <c r="B92" i="3" s="1"/>
  <c r="AC91" i="3"/>
  <c r="Z91" i="3"/>
  <c r="AH25" i="3"/>
  <c r="AG25" i="3"/>
  <c r="U24" i="3"/>
  <c r="D25" i="3" s="1"/>
  <c r="Y23" i="3"/>
  <c r="S88" i="3" l="1"/>
  <c r="T87" i="3"/>
  <c r="E25" i="3"/>
  <c r="H25" i="3" s="1"/>
  <c r="K25" i="3" s="1"/>
  <c r="G25" i="3"/>
  <c r="AA92" i="3"/>
  <c r="AD92" i="3"/>
  <c r="AC92" i="3"/>
  <c r="P92" i="3"/>
  <c r="Q92" i="3" s="1"/>
  <c r="R92" i="3" s="1"/>
  <c r="Z92" i="3"/>
  <c r="A93" i="3"/>
  <c r="B93" i="3" s="1"/>
  <c r="T88" i="3" l="1"/>
  <c r="S89" i="3"/>
  <c r="F25" i="3"/>
  <c r="Z93" i="3"/>
  <c r="AA93" i="3"/>
  <c r="P93" i="3"/>
  <c r="Q93" i="3" s="1"/>
  <c r="R93" i="3" s="1"/>
  <c r="A94" i="3"/>
  <c r="B94" i="3" s="1"/>
  <c r="AD93" i="3"/>
  <c r="AC93" i="3"/>
  <c r="I25" i="3"/>
  <c r="J25" i="3"/>
  <c r="M25" i="3"/>
  <c r="N25" i="3" s="1"/>
  <c r="V25" i="3"/>
  <c r="AE25" i="3"/>
  <c r="S90" i="3" l="1"/>
  <c r="T89" i="3"/>
  <c r="W25" i="3"/>
  <c r="AC94" i="3"/>
  <c r="Z94" i="3"/>
  <c r="AA94" i="3"/>
  <c r="AD94" i="3"/>
  <c r="A95" i="3"/>
  <c r="B95" i="3" s="1"/>
  <c r="P94" i="3"/>
  <c r="Q94" i="3" s="1"/>
  <c r="R94" i="3" s="1"/>
  <c r="L25" i="3"/>
  <c r="S91" i="3" l="1"/>
  <c r="T90" i="3"/>
  <c r="U25" i="3"/>
  <c r="E26" i="3" s="1"/>
  <c r="H26" i="3" s="1"/>
  <c r="AH26" i="3"/>
  <c r="AG26" i="3"/>
  <c r="Y24" i="3"/>
  <c r="Z95" i="3"/>
  <c r="A96" i="3"/>
  <c r="B96" i="3" s="1"/>
  <c r="P95" i="3"/>
  <c r="Q95" i="3" s="1"/>
  <c r="R95" i="3" s="1"/>
  <c r="AC95" i="3"/>
  <c r="AD95" i="3"/>
  <c r="AA95" i="3"/>
  <c r="T91" i="3" l="1"/>
  <c r="S92" i="3"/>
  <c r="D26" i="3"/>
  <c r="G26" i="3" s="1"/>
  <c r="K26" i="3"/>
  <c r="Z96" i="3"/>
  <c r="P96" i="3"/>
  <c r="Q96" i="3" s="1"/>
  <c r="R96" i="3" s="1"/>
  <c r="AC96" i="3"/>
  <c r="AA96" i="3"/>
  <c r="AD96" i="3"/>
  <c r="A97" i="3"/>
  <c r="B97" i="3" s="1"/>
  <c r="S93" i="3" l="1"/>
  <c r="T92" i="3"/>
  <c r="F26" i="3"/>
  <c r="I26" i="3"/>
  <c r="J26" i="3"/>
  <c r="M26" i="3"/>
  <c r="N26" i="3" s="1"/>
  <c r="A98" i="3"/>
  <c r="B98" i="3" s="1"/>
  <c r="P97" i="3"/>
  <c r="Q97" i="3" s="1"/>
  <c r="R97" i="3" s="1"/>
  <c r="AD97" i="3"/>
  <c r="AA97" i="3"/>
  <c r="Z97" i="3"/>
  <c r="AC97" i="3"/>
  <c r="V26" i="3"/>
  <c r="AE26" i="3"/>
  <c r="T93" i="3" l="1"/>
  <c r="S94" i="3"/>
  <c r="W26" i="3"/>
  <c r="A99" i="3"/>
  <c r="B99" i="3" s="1"/>
  <c r="AD98" i="3"/>
  <c r="AA98" i="3"/>
  <c r="P98" i="3"/>
  <c r="Q98" i="3" s="1"/>
  <c r="R98" i="3" s="1"/>
  <c r="Z98" i="3"/>
  <c r="AC98" i="3"/>
  <c r="L26" i="3"/>
  <c r="T94" i="3" l="1"/>
  <c r="S95" i="3"/>
  <c r="AD99" i="3"/>
  <c r="P99" i="3"/>
  <c r="Q99" i="3" s="1"/>
  <c r="R99" i="3" s="1"/>
  <c r="Z99" i="3"/>
  <c r="A100" i="3"/>
  <c r="B100" i="3" s="1"/>
  <c r="AC99" i="3"/>
  <c r="AA99" i="3"/>
  <c r="AH27" i="3"/>
  <c r="U26" i="3"/>
  <c r="D27" i="3" s="1"/>
  <c r="AG27" i="3"/>
  <c r="Y25" i="3"/>
  <c r="S96" i="3" l="1"/>
  <c r="T95" i="3"/>
  <c r="E27" i="3"/>
  <c r="H27" i="3" s="1"/>
  <c r="K27" i="3" s="1"/>
  <c r="G27" i="3"/>
  <c r="A101" i="3"/>
  <c r="B101" i="3" s="1"/>
  <c r="AA100" i="3"/>
  <c r="AC100" i="3"/>
  <c r="Z100" i="3"/>
  <c r="AD100" i="3"/>
  <c r="P100" i="3"/>
  <c r="Q100" i="3" s="1"/>
  <c r="R100" i="3" s="1"/>
  <c r="S97" i="3" l="1"/>
  <c r="T96" i="3"/>
  <c r="F27" i="3"/>
  <c r="AD101" i="3"/>
  <c r="Z101" i="3"/>
  <c r="P101" i="3"/>
  <c r="Q101" i="3" s="1"/>
  <c r="R101" i="3" s="1"/>
  <c r="AC101" i="3"/>
  <c r="A102" i="3"/>
  <c r="B102" i="3" s="1"/>
  <c r="AA101" i="3"/>
  <c r="I27" i="3"/>
  <c r="J27" i="3"/>
  <c r="M27" i="3"/>
  <c r="N27" i="3" s="1"/>
  <c r="V27" i="3"/>
  <c r="AE27" i="3"/>
  <c r="S98" i="3" l="1"/>
  <c r="T97" i="3"/>
  <c r="P102" i="3"/>
  <c r="Q102" i="3" s="1"/>
  <c r="R102" i="3" s="1"/>
  <c r="A103" i="3"/>
  <c r="B103" i="3" s="1"/>
  <c r="AA102" i="3"/>
  <c r="AC102" i="3"/>
  <c r="AD102" i="3"/>
  <c r="Z102" i="3"/>
  <c r="L27" i="3"/>
  <c r="W27" i="3"/>
  <c r="T98" i="3" l="1"/>
  <c r="S99" i="3"/>
  <c r="P103" i="3"/>
  <c r="Q103" i="3" s="1"/>
  <c r="R103" i="3" s="1"/>
  <c r="AD103" i="3"/>
  <c r="AC103" i="3"/>
  <c r="Z103" i="3"/>
  <c r="A104" i="3"/>
  <c r="B104" i="3" s="1"/>
  <c r="AA103" i="3"/>
  <c r="U27" i="3"/>
  <c r="E28" i="3" s="1"/>
  <c r="H28" i="3" s="1"/>
  <c r="AG28" i="3"/>
  <c r="AH28" i="3"/>
  <c r="Y26" i="3"/>
  <c r="S100" i="3" l="1"/>
  <c r="T99" i="3"/>
  <c r="D28" i="3"/>
  <c r="F28" i="3" s="1"/>
  <c r="K28" i="3"/>
  <c r="AC104" i="3"/>
  <c r="P104" i="3"/>
  <c r="Q104" i="3" s="1"/>
  <c r="R104" i="3" s="1"/>
  <c r="Z104" i="3"/>
  <c r="AA104" i="3"/>
  <c r="S101" i="3" l="1"/>
  <c r="T100" i="3"/>
  <c r="G28" i="3"/>
  <c r="I28" i="3" s="1"/>
  <c r="V28" i="3"/>
  <c r="AE28" i="3"/>
  <c r="T101" i="3" l="1"/>
  <c r="S102" i="3"/>
  <c r="M28" i="3"/>
  <c r="N28" i="3" s="1"/>
  <c r="J28" i="3"/>
  <c r="L28" i="3" s="1"/>
  <c r="W28" i="3"/>
  <c r="S103" i="3" l="1"/>
  <c r="T102" i="3"/>
  <c r="AH29" i="3"/>
  <c r="AG29" i="3"/>
  <c r="U28" i="3"/>
  <c r="E29" i="3" s="1"/>
  <c r="H29" i="3" s="1"/>
  <c r="Y27" i="3"/>
  <c r="S104" i="3" l="1"/>
  <c r="T103" i="3"/>
  <c r="D29" i="3"/>
  <c r="F29" i="3" s="1"/>
  <c r="K29" i="3"/>
  <c r="T104" i="3" l="1"/>
  <c r="G29" i="3"/>
  <c r="M29" i="3" s="1"/>
  <c r="N29" i="3" s="1"/>
  <c r="V29" i="3"/>
  <c r="AE29" i="3"/>
  <c r="J29" i="3" l="1"/>
  <c r="L29" i="3" s="1"/>
  <c r="I29" i="3"/>
  <c r="W29" i="3" s="1"/>
  <c r="U29" i="3" l="1"/>
  <c r="D30" i="3" s="1"/>
  <c r="AG30" i="3"/>
  <c r="AH30" i="3"/>
  <c r="Y28" i="3"/>
  <c r="E30" i="3" l="1"/>
  <c r="H30" i="3" s="1"/>
  <c r="K30" i="3" s="1"/>
  <c r="G30" i="3"/>
  <c r="F30" i="3" l="1"/>
  <c r="I30" i="3"/>
  <c r="J30" i="3"/>
  <c r="M30" i="3"/>
  <c r="N30" i="3" s="1"/>
  <c r="V30" i="3"/>
  <c r="AE30" i="3"/>
  <c r="W30" i="3" l="1"/>
  <c r="L30" i="3"/>
  <c r="U30" i="3" l="1"/>
  <c r="D31" i="3" s="1"/>
  <c r="AG31" i="3"/>
  <c r="AH31" i="3"/>
  <c r="Y29" i="3"/>
  <c r="E31" i="3" l="1"/>
  <c r="H31" i="3" s="1"/>
  <c r="K31" i="3" s="1"/>
  <c r="G31" i="3"/>
  <c r="F31" i="3" l="1"/>
  <c r="V31" i="3"/>
  <c r="AE31" i="3"/>
  <c r="I31" i="3"/>
  <c r="J31" i="3"/>
  <c r="M31" i="3"/>
  <c r="N31" i="3" s="1"/>
  <c r="L31" i="3" l="1"/>
  <c r="W31" i="3"/>
  <c r="AG32" i="3" l="1"/>
  <c r="AH32" i="3"/>
  <c r="U31" i="3"/>
  <c r="E32" i="3" s="1"/>
  <c r="H32" i="3" s="1"/>
  <c r="Y30" i="3"/>
  <c r="D32" i="3" l="1"/>
  <c r="F32" i="3" s="1"/>
  <c r="K32" i="3"/>
  <c r="G32" i="3" l="1"/>
  <c r="I32" i="3" s="1"/>
  <c r="V32" i="3"/>
  <c r="AE32" i="3"/>
  <c r="M32" i="3" l="1"/>
  <c r="N32" i="3" s="1"/>
  <c r="J32" i="3"/>
  <c r="L32" i="3" s="1"/>
  <c r="W32" i="3"/>
  <c r="AH33" i="3" l="1"/>
  <c r="AG33" i="3"/>
  <c r="U32" i="3"/>
  <c r="D33" i="3" s="1"/>
  <c r="Y31" i="3"/>
  <c r="E33" i="3" l="1"/>
  <c r="H33" i="3" s="1"/>
  <c r="K33" i="3" s="1"/>
  <c r="G33" i="3"/>
  <c r="F33" i="3" l="1"/>
  <c r="I33" i="3"/>
  <c r="J33" i="3"/>
  <c r="M33" i="3"/>
  <c r="N33" i="3" s="1"/>
  <c r="V33" i="3"/>
  <c r="AE33" i="3"/>
  <c r="W33" i="3" l="1"/>
  <c r="L33" i="3"/>
  <c r="AH34" i="3" l="1"/>
  <c r="AG34" i="3"/>
  <c r="U33" i="3"/>
  <c r="D34" i="3" s="1"/>
  <c r="Y32" i="3"/>
  <c r="G34" i="3" l="1"/>
  <c r="E34" i="3"/>
  <c r="H34" i="3" s="1"/>
  <c r="F34" i="3" l="1"/>
  <c r="I34" i="3"/>
  <c r="J34" i="3"/>
  <c r="M34" i="3"/>
  <c r="N34" i="3" s="1"/>
  <c r="K34" i="3"/>
  <c r="V34" i="3" l="1"/>
  <c r="W34" i="3" s="1"/>
  <c r="AE34" i="3"/>
  <c r="L34" i="3"/>
  <c r="U34" i="3" l="1"/>
  <c r="E35" i="3" s="1"/>
  <c r="H35" i="3" s="1"/>
  <c r="AH35" i="3"/>
  <c r="AG35" i="3"/>
  <c r="Y33" i="3"/>
  <c r="D35" i="3" l="1"/>
  <c r="G35" i="3" s="1"/>
  <c r="K35" i="3"/>
  <c r="F35" i="3" l="1"/>
  <c r="I35" i="3"/>
  <c r="J35" i="3"/>
  <c r="M35" i="3"/>
  <c r="N35" i="3" s="1"/>
  <c r="V35" i="3"/>
  <c r="AE35" i="3"/>
  <c r="W35" i="3" l="1"/>
  <c r="L35" i="3"/>
  <c r="U35" i="3" l="1"/>
  <c r="E36" i="3" s="1"/>
  <c r="H36" i="3" s="1"/>
  <c r="AG36" i="3"/>
  <c r="AH36" i="3"/>
  <c r="Y34" i="3"/>
  <c r="K36" i="3" l="1"/>
  <c r="D36" i="3"/>
  <c r="F36" i="3" l="1"/>
  <c r="G36" i="3"/>
  <c r="V36" i="3"/>
  <c r="AE36" i="3"/>
  <c r="I36" i="3" l="1"/>
  <c r="W36" i="3" s="1"/>
  <c r="J36" i="3"/>
  <c r="M36" i="3"/>
  <c r="N36" i="3" s="1"/>
  <c r="L36" i="3" l="1"/>
  <c r="AH37" i="3" l="1"/>
  <c r="AG37" i="3"/>
  <c r="U36" i="3"/>
  <c r="E37" i="3" s="1"/>
  <c r="H37" i="3" s="1"/>
  <c r="Y35" i="3"/>
  <c r="D37" i="3" l="1"/>
  <c r="G37" i="3" s="1"/>
  <c r="K37" i="3"/>
  <c r="F37" i="3" l="1"/>
  <c r="I37" i="3"/>
  <c r="J37" i="3"/>
  <c r="M37" i="3"/>
  <c r="N37" i="3" s="1"/>
  <c r="V37" i="3"/>
  <c r="AE37" i="3"/>
  <c r="W37" i="3" l="1"/>
  <c r="L37" i="3"/>
  <c r="AH38" i="3" l="1"/>
  <c r="AG38" i="3"/>
  <c r="U37" i="3"/>
  <c r="D38" i="3" s="1"/>
  <c r="Y36" i="3"/>
  <c r="G38" i="3" l="1"/>
  <c r="E38" i="3"/>
  <c r="H38" i="3" s="1"/>
  <c r="K38" i="3" l="1"/>
  <c r="F38" i="3"/>
  <c r="I38" i="3"/>
  <c r="J38" i="3"/>
  <c r="M38" i="3"/>
  <c r="N38" i="3" s="1"/>
  <c r="L38" i="3" l="1"/>
  <c r="V38" i="3"/>
  <c r="W38" i="3" s="1"/>
  <c r="AE38" i="3"/>
  <c r="U38" i="3" l="1"/>
  <c r="D39" i="3" s="1"/>
  <c r="AG39" i="3"/>
  <c r="AH39" i="3"/>
  <c r="Y37" i="3"/>
  <c r="G39" i="3" l="1"/>
  <c r="E39" i="3"/>
  <c r="H39" i="3" s="1"/>
  <c r="F39" i="3" l="1"/>
  <c r="K39" i="3"/>
  <c r="I39" i="3"/>
  <c r="J39" i="3"/>
  <c r="M39" i="3"/>
  <c r="N39" i="3" s="1"/>
  <c r="L39" i="3" l="1"/>
  <c r="V39" i="3"/>
  <c r="W39" i="3" s="1"/>
  <c r="AE39" i="3"/>
  <c r="U39" i="3" l="1"/>
  <c r="E40" i="3" s="1"/>
  <c r="H40" i="3" s="1"/>
  <c r="AH40" i="3"/>
  <c r="AG40" i="3"/>
  <c r="Y38" i="3"/>
  <c r="D40" i="3" l="1"/>
  <c r="F40" i="3" s="1"/>
  <c r="K40" i="3"/>
  <c r="G40" i="3" l="1"/>
  <c r="M40" i="3" s="1"/>
  <c r="N40" i="3" s="1"/>
  <c r="V40" i="3"/>
  <c r="AE40" i="3"/>
  <c r="I40" i="3" l="1"/>
  <c r="W40" i="3" s="1"/>
  <c r="J40" i="3"/>
  <c r="L40" i="3" s="1"/>
  <c r="U40" i="3" l="1"/>
  <c r="D41" i="3" s="1"/>
  <c r="AG41" i="3"/>
  <c r="AH41" i="3"/>
  <c r="Y39" i="3"/>
  <c r="G41" i="3" l="1"/>
  <c r="E41" i="3"/>
  <c r="H41" i="3" s="1"/>
  <c r="F41" i="3" l="1"/>
  <c r="I41" i="3"/>
  <c r="J41" i="3"/>
  <c r="M41" i="3"/>
  <c r="N41" i="3" s="1"/>
  <c r="K41" i="3"/>
  <c r="V41" i="3" l="1"/>
  <c r="W41" i="3" s="1"/>
  <c r="AE41" i="3"/>
  <c r="L41" i="3"/>
  <c r="U41" i="3" l="1"/>
  <c r="E42" i="3" s="1"/>
  <c r="H42" i="3" s="1"/>
  <c r="AG42" i="3"/>
  <c r="AH42" i="3"/>
  <c r="Y40" i="3"/>
  <c r="D42" i="3" l="1"/>
  <c r="G42" i="3" s="1"/>
  <c r="K42" i="3"/>
  <c r="F42" i="3" l="1"/>
  <c r="V42" i="3"/>
  <c r="AE42" i="3"/>
  <c r="I42" i="3"/>
  <c r="J42" i="3"/>
  <c r="M42" i="3"/>
  <c r="N42" i="3" s="1"/>
  <c r="W42" i="3" l="1"/>
  <c r="L42" i="3"/>
  <c r="AG43" i="3" l="1"/>
  <c r="AH43" i="3"/>
  <c r="U42" i="3"/>
  <c r="E43" i="3" s="1"/>
  <c r="H43" i="3" s="1"/>
  <c r="Y41" i="3"/>
  <c r="K43" i="3" l="1"/>
  <c r="D43" i="3"/>
  <c r="V43" i="3" l="1"/>
  <c r="AE43" i="3"/>
  <c r="F43" i="3"/>
  <c r="G43" i="3"/>
  <c r="I43" i="3" l="1"/>
  <c r="W43" i="3" s="1"/>
  <c r="J43" i="3"/>
  <c r="M43" i="3"/>
  <c r="N43" i="3" s="1"/>
  <c r="L43" i="3" l="1"/>
  <c r="AG44" i="3" l="1"/>
  <c r="AH44" i="3"/>
  <c r="U43" i="3"/>
  <c r="E44" i="3" s="1"/>
  <c r="H44" i="3" s="1"/>
  <c r="Y42" i="3"/>
  <c r="D44" i="3" l="1"/>
  <c r="F44" i="3" s="1"/>
  <c r="K44" i="3"/>
  <c r="G44" i="3" l="1"/>
  <c r="J44" i="3" s="1"/>
  <c r="V44" i="3"/>
  <c r="AE44" i="3"/>
  <c r="M44" i="3" l="1"/>
  <c r="N44" i="3" s="1"/>
  <c r="I44" i="3"/>
  <c r="W44" i="3" s="1"/>
  <c r="L44" i="3"/>
  <c r="U44" i="3" l="1"/>
  <c r="E45" i="3" s="1"/>
  <c r="H45" i="3" s="1"/>
  <c r="AH45" i="3"/>
  <c r="AG45" i="3"/>
  <c r="Y43" i="3"/>
  <c r="D45" i="3" l="1"/>
  <c r="G45" i="3" s="1"/>
  <c r="K45" i="3"/>
  <c r="F45" i="3" l="1"/>
  <c r="I45" i="3"/>
  <c r="J45" i="3"/>
  <c r="M45" i="3"/>
  <c r="N45" i="3" s="1"/>
  <c r="V45" i="3"/>
  <c r="AE45" i="3"/>
  <c r="L45" i="3" l="1"/>
  <c r="W45" i="3"/>
  <c r="U45" i="3" l="1"/>
  <c r="D46" i="3" s="1"/>
  <c r="AG46" i="3"/>
  <c r="AH46" i="3"/>
  <c r="Y44" i="3"/>
  <c r="E46" i="3" l="1"/>
  <c r="H46" i="3" s="1"/>
  <c r="K46" i="3" s="1"/>
  <c r="G46" i="3"/>
  <c r="F46" i="3" l="1"/>
  <c r="I46" i="3"/>
  <c r="J46" i="3"/>
  <c r="M46" i="3"/>
  <c r="N46" i="3" s="1"/>
  <c r="V46" i="3"/>
  <c r="AE46" i="3"/>
  <c r="W46" i="3" l="1"/>
  <c r="L46" i="3"/>
  <c r="AG47" i="3" l="1"/>
  <c r="U46" i="3"/>
  <c r="D47" i="3" s="1"/>
  <c r="AH47" i="3"/>
  <c r="Y45" i="3"/>
  <c r="E47" i="3" l="1"/>
  <c r="H47" i="3" s="1"/>
  <c r="K47" i="3" s="1"/>
  <c r="G47" i="3"/>
  <c r="F47" i="3" l="1"/>
  <c r="I47" i="3"/>
  <c r="J47" i="3"/>
  <c r="M47" i="3"/>
  <c r="N47" i="3" s="1"/>
  <c r="V47" i="3"/>
  <c r="AE47" i="3"/>
  <c r="W47" i="3" l="1"/>
  <c r="L47" i="3"/>
  <c r="AG48" i="3" l="1"/>
  <c r="U47" i="3"/>
  <c r="E48" i="3" s="1"/>
  <c r="H48" i="3" s="1"/>
  <c r="AH48" i="3"/>
  <c r="Y46" i="3"/>
  <c r="K48" i="3" l="1"/>
  <c r="D48" i="3"/>
  <c r="V48" i="3" l="1"/>
  <c r="AE48" i="3"/>
  <c r="F48" i="3"/>
  <c r="G48" i="3"/>
  <c r="I48" i="3" l="1"/>
  <c r="W48" i="3" s="1"/>
  <c r="J48" i="3"/>
  <c r="M48" i="3"/>
  <c r="N48" i="3" s="1"/>
  <c r="L48" i="3" l="1"/>
  <c r="AH49" i="3" l="1"/>
  <c r="U48" i="3"/>
  <c r="E49" i="3" s="1"/>
  <c r="H49" i="3" s="1"/>
  <c r="AG49" i="3"/>
  <c r="Y47" i="3"/>
  <c r="D49" i="3" l="1"/>
  <c r="G49" i="3" s="1"/>
  <c r="K49" i="3"/>
  <c r="F49" i="3" l="1"/>
  <c r="V49" i="3"/>
  <c r="AE49" i="3"/>
  <c r="I49" i="3"/>
  <c r="J49" i="3"/>
  <c r="M49" i="3"/>
  <c r="N49" i="3" s="1"/>
  <c r="W49" i="3" l="1"/>
  <c r="L49" i="3"/>
  <c r="AG50" i="3" l="1"/>
  <c r="AH50" i="3"/>
  <c r="U49" i="3"/>
  <c r="D50" i="3" s="1"/>
  <c r="Y48" i="3"/>
  <c r="E50" i="3" l="1"/>
  <c r="H50" i="3" s="1"/>
  <c r="K50" i="3" s="1"/>
  <c r="G50" i="3"/>
  <c r="F50" i="3" l="1"/>
  <c r="I50" i="3"/>
  <c r="J50" i="3"/>
  <c r="M50" i="3"/>
  <c r="N50" i="3" s="1"/>
  <c r="V50" i="3"/>
  <c r="AE50" i="3"/>
  <c r="L50" i="3" l="1"/>
  <c r="W50" i="3"/>
  <c r="U50" i="3" l="1"/>
  <c r="D51" i="3" s="1"/>
  <c r="AH51" i="3"/>
  <c r="AG51" i="3"/>
  <c r="Y49" i="3"/>
  <c r="E51" i="3" l="1"/>
  <c r="H51" i="3" s="1"/>
  <c r="K51" i="3" s="1"/>
  <c r="G51" i="3"/>
  <c r="F51" i="3" l="1"/>
  <c r="V51" i="3"/>
  <c r="AE51" i="3"/>
  <c r="I51" i="3"/>
  <c r="J51" i="3"/>
  <c r="M51" i="3"/>
  <c r="N51" i="3" s="1"/>
  <c r="W51" i="3" l="1"/>
  <c r="L51" i="3"/>
  <c r="AH52" i="3" l="1"/>
  <c r="AG52" i="3"/>
  <c r="U51" i="3"/>
  <c r="E52" i="3" s="1"/>
  <c r="H52" i="3" s="1"/>
  <c r="Y50" i="3"/>
  <c r="D52" i="3" l="1"/>
  <c r="G52" i="3" s="1"/>
  <c r="K52" i="3"/>
  <c r="F52" i="3" l="1"/>
  <c r="V52" i="3"/>
  <c r="AE52" i="3"/>
  <c r="I52" i="3"/>
  <c r="J52" i="3"/>
  <c r="M52" i="3"/>
  <c r="N52" i="3" s="1"/>
  <c r="L52" i="3" l="1"/>
  <c r="W52" i="3"/>
  <c r="AH53" i="3" l="1"/>
  <c r="AG53" i="3"/>
  <c r="U52" i="3"/>
  <c r="E53" i="3" s="1"/>
  <c r="H53" i="3" s="1"/>
  <c r="Y51" i="3"/>
  <c r="K53" i="3" l="1"/>
  <c r="D53" i="3"/>
  <c r="V53" i="3" l="1"/>
  <c r="AE53" i="3"/>
  <c r="F53" i="3"/>
  <c r="G53" i="3"/>
  <c r="I53" i="3" l="1"/>
  <c r="W53" i="3" s="1"/>
  <c r="J53" i="3"/>
  <c r="M53" i="3"/>
  <c r="N53" i="3" s="1"/>
  <c r="L53" i="3" l="1"/>
  <c r="AH54" i="3" l="1"/>
  <c r="AG54" i="3"/>
  <c r="U53" i="3"/>
  <c r="D54" i="3" s="1"/>
  <c r="Y52" i="3"/>
  <c r="G54" i="3" l="1"/>
  <c r="E54" i="3"/>
  <c r="H54" i="3" s="1"/>
  <c r="I54" i="3" l="1"/>
  <c r="J54" i="3"/>
  <c r="M54" i="3"/>
  <c r="N54" i="3" s="1"/>
  <c r="F54" i="3"/>
  <c r="K54" i="3"/>
  <c r="L54" i="3" l="1"/>
  <c r="V54" i="3"/>
  <c r="W54" i="3" s="1"/>
  <c r="AE54" i="3"/>
  <c r="U54" i="3" l="1"/>
  <c r="D55" i="3" s="1"/>
  <c r="AG55" i="3"/>
  <c r="AH55" i="3"/>
  <c r="Y53" i="3"/>
  <c r="E55" i="3" l="1"/>
  <c r="H55" i="3" s="1"/>
  <c r="K55" i="3" s="1"/>
  <c r="G55" i="3"/>
  <c r="F55" i="3" l="1"/>
  <c r="V55" i="3"/>
  <c r="AE55" i="3"/>
  <c r="I55" i="3"/>
  <c r="J55" i="3"/>
  <c r="M55" i="3"/>
  <c r="N55" i="3" s="1"/>
  <c r="W55" i="3" l="1"/>
  <c r="L55" i="3"/>
  <c r="AH56" i="3" l="1"/>
  <c r="U55" i="3"/>
  <c r="D56" i="3" s="1"/>
  <c r="AG56" i="3"/>
  <c r="Y54" i="3"/>
  <c r="E56" i="3" l="1"/>
  <c r="H56" i="3" s="1"/>
  <c r="K56" i="3" s="1"/>
  <c r="G56" i="3"/>
  <c r="F56" i="3" l="1"/>
  <c r="I56" i="3"/>
  <c r="J56" i="3"/>
  <c r="M56" i="3"/>
  <c r="N56" i="3" s="1"/>
  <c r="V56" i="3"/>
  <c r="AE56" i="3"/>
  <c r="W56" i="3" l="1"/>
  <c r="L56" i="3"/>
  <c r="AG57" i="3" l="1"/>
  <c r="U56" i="3"/>
  <c r="D57" i="3" s="1"/>
  <c r="AH57" i="3"/>
  <c r="Y55" i="3"/>
  <c r="E57" i="3" l="1"/>
  <c r="H57" i="3" s="1"/>
  <c r="K57" i="3" s="1"/>
  <c r="G57" i="3"/>
  <c r="F57" i="3" l="1"/>
  <c r="I57" i="3"/>
  <c r="J57" i="3"/>
  <c r="M57" i="3"/>
  <c r="N57" i="3" s="1"/>
  <c r="V57" i="3"/>
  <c r="AE57" i="3"/>
  <c r="W57" i="3" l="1"/>
  <c r="L57" i="3"/>
  <c r="U57" i="3" l="1"/>
  <c r="D58" i="3" s="1"/>
  <c r="AH58" i="3"/>
  <c r="AG58" i="3"/>
  <c r="Y56" i="3"/>
  <c r="E58" i="3" l="1"/>
  <c r="H58" i="3" s="1"/>
  <c r="K58" i="3" s="1"/>
  <c r="G58" i="3"/>
  <c r="F58" i="3" l="1"/>
  <c r="V58" i="3"/>
  <c r="AE58" i="3"/>
  <c r="I58" i="3"/>
  <c r="J58" i="3"/>
  <c r="M58" i="3"/>
  <c r="N58" i="3" s="1"/>
  <c r="W58" i="3" l="1"/>
  <c r="L58" i="3"/>
  <c r="AG59" i="3" l="1"/>
  <c r="U58" i="3"/>
  <c r="E59" i="3" s="1"/>
  <c r="H59" i="3" s="1"/>
  <c r="AH59" i="3"/>
  <c r="Y57" i="3"/>
  <c r="D59" i="3" l="1"/>
  <c r="F59" i="3" s="1"/>
  <c r="K59" i="3"/>
  <c r="G59" i="3" l="1"/>
  <c r="M59" i="3" s="1"/>
  <c r="N59" i="3" s="1"/>
  <c r="V59" i="3"/>
  <c r="AE59" i="3"/>
  <c r="I59" i="3" l="1"/>
  <c r="W59" i="3" s="1"/>
  <c r="J59" i="3"/>
  <c r="L59" i="3" s="1"/>
  <c r="AH60" i="3" l="1"/>
  <c r="U59" i="3"/>
  <c r="D60" i="3" s="1"/>
  <c r="AG60" i="3"/>
  <c r="Y58" i="3"/>
  <c r="E60" i="3" l="1"/>
  <c r="H60" i="3" s="1"/>
  <c r="K60" i="3" s="1"/>
  <c r="G60" i="3"/>
  <c r="F60" i="3" l="1"/>
  <c r="I60" i="3"/>
  <c r="J60" i="3"/>
  <c r="M60" i="3"/>
  <c r="N60" i="3" s="1"/>
  <c r="V60" i="3"/>
  <c r="AE60" i="3"/>
  <c r="W60" i="3" l="1"/>
  <c r="L60" i="3"/>
  <c r="AG61" i="3" l="1"/>
  <c r="U60" i="3"/>
  <c r="D61" i="3" s="1"/>
  <c r="AH61" i="3"/>
  <c r="Y59" i="3"/>
  <c r="G61" i="3" l="1"/>
  <c r="E61" i="3"/>
  <c r="H61" i="3" s="1"/>
  <c r="F61" i="3" l="1"/>
  <c r="I61" i="3"/>
  <c r="J61" i="3"/>
  <c r="M61" i="3"/>
  <c r="N61" i="3" s="1"/>
  <c r="K61" i="3"/>
  <c r="V61" i="3" l="1"/>
  <c r="W61" i="3" s="1"/>
  <c r="AE61" i="3"/>
  <c r="L61" i="3"/>
  <c r="AG62" i="3" l="1"/>
  <c r="U61" i="3"/>
  <c r="D62" i="3" s="1"/>
  <c r="AH62" i="3"/>
  <c r="Y60" i="3"/>
  <c r="G62" i="3" l="1"/>
  <c r="E62" i="3"/>
  <c r="H62" i="3" s="1"/>
  <c r="F62" i="3" l="1"/>
  <c r="I62" i="3"/>
  <c r="J62" i="3"/>
  <c r="M62" i="3"/>
  <c r="N62" i="3" s="1"/>
  <c r="K62" i="3"/>
  <c r="V62" i="3" l="1"/>
  <c r="W62" i="3" s="1"/>
  <c r="AE62" i="3"/>
  <c r="L62" i="3"/>
  <c r="U62" i="3" l="1"/>
  <c r="E63" i="3" s="1"/>
  <c r="H63" i="3" s="1"/>
  <c r="AG63" i="3"/>
  <c r="AH63" i="3"/>
  <c r="Y61" i="3"/>
  <c r="D63" i="3" l="1"/>
  <c r="G63" i="3" s="1"/>
  <c r="K63" i="3"/>
  <c r="F63" i="3" l="1"/>
  <c r="I63" i="3"/>
  <c r="J63" i="3"/>
  <c r="M63" i="3"/>
  <c r="N63" i="3" s="1"/>
  <c r="V63" i="3"/>
  <c r="AE63" i="3"/>
  <c r="W63" i="3" l="1"/>
  <c r="L63" i="3"/>
  <c r="U63" i="3" l="1"/>
  <c r="E64" i="3" s="1"/>
  <c r="H64" i="3" s="1"/>
  <c r="AH64" i="3"/>
  <c r="AG64" i="3"/>
  <c r="Y62" i="3"/>
  <c r="D64" i="3" l="1"/>
  <c r="G64" i="3" s="1"/>
  <c r="K64" i="3"/>
  <c r="F64" i="3" l="1"/>
  <c r="V64" i="3"/>
  <c r="AE64" i="3"/>
  <c r="I64" i="3"/>
  <c r="J64" i="3"/>
  <c r="M64" i="3"/>
  <c r="N64" i="3" s="1"/>
  <c r="W64" i="3" l="1"/>
  <c r="L64" i="3"/>
  <c r="U64" i="3" l="1"/>
  <c r="E65" i="3" s="1"/>
  <c r="H65" i="3" s="1"/>
  <c r="AH65" i="3"/>
  <c r="AG65" i="3"/>
  <c r="Y63" i="3"/>
  <c r="D65" i="3" l="1"/>
  <c r="G65" i="3" s="1"/>
  <c r="K65" i="3"/>
  <c r="F65" i="3" l="1"/>
  <c r="V65" i="3"/>
  <c r="AE65" i="3"/>
  <c r="I65" i="3"/>
  <c r="J65" i="3"/>
  <c r="M65" i="3"/>
  <c r="N65" i="3" s="1"/>
  <c r="W65" i="3" l="1"/>
  <c r="L65" i="3"/>
  <c r="U65" i="3" l="1"/>
  <c r="D66" i="3" s="1"/>
  <c r="AH66" i="3"/>
  <c r="AG66" i="3"/>
  <c r="Y64" i="3"/>
  <c r="E66" i="3" l="1"/>
  <c r="H66" i="3" s="1"/>
  <c r="K66" i="3" s="1"/>
  <c r="G66" i="3"/>
  <c r="F66" i="3" l="1"/>
  <c r="I66" i="3"/>
  <c r="J66" i="3"/>
  <c r="M66" i="3"/>
  <c r="N66" i="3" s="1"/>
  <c r="V66" i="3"/>
  <c r="AE66" i="3"/>
  <c r="W66" i="3" l="1"/>
  <c r="L66" i="3"/>
  <c r="U66" i="3" l="1"/>
  <c r="D67" i="3" s="1"/>
  <c r="AH67" i="3"/>
  <c r="AG67" i="3"/>
  <c r="Y65" i="3"/>
  <c r="E67" i="3" l="1"/>
  <c r="H67" i="3" s="1"/>
  <c r="K67" i="3" s="1"/>
  <c r="G67" i="3"/>
  <c r="F67" i="3" l="1"/>
  <c r="I67" i="3"/>
  <c r="J67" i="3"/>
  <c r="M67" i="3"/>
  <c r="N67" i="3" s="1"/>
  <c r="V67" i="3"/>
  <c r="AE67" i="3"/>
  <c r="W67" i="3" l="1"/>
  <c r="L67" i="3"/>
  <c r="U67" i="3" l="1"/>
  <c r="D68" i="3" s="1"/>
  <c r="AH68" i="3"/>
  <c r="AG68" i="3"/>
  <c r="Y66" i="3"/>
  <c r="E68" i="3" l="1"/>
  <c r="H68" i="3" s="1"/>
  <c r="K68" i="3" s="1"/>
  <c r="G68" i="3"/>
  <c r="F68" i="3" l="1"/>
  <c r="I68" i="3"/>
  <c r="J68" i="3"/>
  <c r="M68" i="3"/>
  <c r="N68" i="3" s="1"/>
  <c r="V68" i="3"/>
  <c r="AE68" i="3"/>
  <c r="W68" i="3" l="1"/>
  <c r="L68" i="3"/>
  <c r="U68" i="3" l="1"/>
  <c r="D69" i="3" s="1"/>
  <c r="AH69" i="3"/>
  <c r="AG69" i="3"/>
  <c r="Y67" i="3"/>
  <c r="E69" i="3" l="1"/>
  <c r="H69" i="3" s="1"/>
  <c r="K69" i="3" s="1"/>
  <c r="G69" i="3"/>
  <c r="F69" i="3" l="1"/>
  <c r="I69" i="3"/>
  <c r="J69" i="3"/>
  <c r="M69" i="3"/>
  <c r="N69" i="3" s="1"/>
  <c r="V69" i="3"/>
  <c r="AE69" i="3"/>
  <c r="W69" i="3" l="1"/>
  <c r="L69" i="3"/>
  <c r="AH70" i="3" l="1"/>
  <c r="U69" i="3"/>
  <c r="E70" i="3" s="1"/>
  <c r="H70" i="3" s="1"/>
  <c r="AG70" i="3"/>
  <c r="Y68" i="3"/>
  <c r="D70" i="3" l="1"/>
  <c r="G70" i="3" s="1"/>
  <c r="K70" i="3"/>
  <c r="F70" i="3" l="1"/>
  <c r="I70" i="3"/>
  <c r="J70" i="3"/>
  <c r="M70" i="3"/>
  <c r="N70" i="3" s="1"/>
  <c r="V70" i="3"/>
  <c r="AE70" i="3"/>
  <c r="W70" i="3" l="1"/>
  <c r="L70" i="3"/>
  <c r="AG71" i="3" l="1"/>
  <c r="AH71" i="3"/>
  <c r="U70" i="3"/>
  <c r="E71" i="3" s="1"/>
  <c r="H71" i="3" s="1"/>
  <c r="Y69" i="3"/>
  <c r="D71" i="3" l="1"/>
  <c r="G71" i="3" s="1"/>
  <c r="K71" i="3"/>
  <c r="F71" i="3" l="1"/>
  <c r="I71" i="3"/>
  <c r="J71" i="3"/>
  <c r="M71" i="3"/>
  <c r="N71" i="3" s="1"/>
  <c r="V71" i="3"/>
  <c r="AE71" i="3"/>
  <c r="W71" i="3" l="1"/>
  <c r="L71" i="3"/>
  <c r="AH72" i="3" l="1"/>
  <c r="U71" i="3"/>
  <c r="E72" i="3" s="1"/>
  <c r="H72" i="3" s="1"/>
  <c r="AG72" i="3"/>
  <c r="Y70" i="3"/>
  <c r="D72" i="3" l="1"/>
  <c r="F72" i="3" s="1"/>
  <c r="K72" i="3"/>
  <c r="G72" i="3" l="1"/>
  <c r="M72" i="3" s="1"/>
  <c r="N72" i="3" s="1"/>
  <c r="V72" i="3"/>
  <c r="AE72" i="3"/>
  <c r="I72" i="3" l="1"/>
  <c r="W72" i="3" s="1"/>
  <c r="J72" i="3"/>
  <c r="L72" i="3" s="1"/>
  <c r="U72" i="3" l="1"/>
  <c r="D73" i="3" s="1"/>
  <c r="AG73" i="3"/>
  <c r="AH73" i="3"/>
  <c r="Y71" i="3"/>
  <c r="E73" i="3" l="1"/>
  <c r="H73" i="3" s="1"/>
  <c r="K73" i="3" s="1"/>
  <c r="G73" i="3"/>
  <c r="F73" i="3" l="1"/>
  <c r="I73" i="3"/>
  <c r="J73" i="3"/>
  <c r="M73" i="3"/>
  <c r="N73" i="3" s="1"/>
  <c r="V73" i="3"/>
  <c r="AE73" i="3"/>
  <c r="W73" i="3" l="1"/>
  <c r="L73" i="3"/>
  <c r="AG74" i="3" l="1"/>
  <c r="AH74" i="3"/>
  <c r="U73" i="3"/>
  <c r="D74" i="3" s="1"/>
  <c r="Y72" i="3"/>
  <c r="G74" i="3" l="1"/>
  <c r="E74" i="3"/>
  <c r="H74" i="3" s="1"/>
  <c r="I74" i="3" l="1"/>
  <c r="J74" i="3"/>
  <c r="M74" i="3"/>
  <c r="N74" i="3" s="1"/>
  <c r="K74" i="3"/>
  <c r="F74" i="3"/>
  <c r="V74" i="3" l="1"/>
  <c r="W74" i="3" s="1"/>
  <c r="AE74" i="3"/>
  <c r="L74" i="3"/>
  <c r="AG75" i="3" l="1"/>
  <c r="U74" i="3"/>
  <c r="E75" i="3" s="1"/>
  <c r="H75" i="3" s="1"/>
  <c r="AH75" i="3"/>
  <c r="Y73" i="3"/>
  <c r="K75" i="3" l="1"/>
  <c r="D75" i="3"/>
  <c r="V75" i="3" l="1"/>
  <c r="AE75" i="3"/>
  <c r="F75" i="3"/>
  <c r="G75" i="3"/>
  <c r="I75" i="3" l="1"/>
  <c r="W75" i="3" s="1"/>
  <c r="J75" i="3"/>
  <c r="M75" i="3"/>
  <c r="N75" i="3" s="1"/>
  <c r="L75" i="3" l="1"/>
  <c r="U75" i="3" l="1"/>
  <c r="E76" i="3" s="1"/>
  <c r="H76" i="3" s="1"/>
  <c r="AH76" i="3"/>
  <c r="AG76" i="3"/>
  <c r="Y74" i="3"/>
  <c r="D76" i="3" l="1"/>
  <c r="F76" i="3" s="1"/>
  <c r="K76" i="3"/>
  <c r="G76" i="3" l="1"/>
  <c r="I76" i="3" s="1"/>
  <c r="V76" i="3"/>
  <c r="AE76" i="3"/>
  <c r="J76" i="3" l="1"/>
  <c r="L76" i="3" s="1"/>
  <c r="M76" i="3"/>
  <c r="N76" i="3" s="1"/>
  <c r="W76" i="3"/>
  <c r="U76" i="3" l="1"/>
  <c r="D77" i="3" s="1"/>
  <c r="AH77" i="3"/>
  <c r="AG77" i="3"/>
  <c r="Y75" i="3"/>
  <c r="E77" i="3" l="1"/>
  <c r="H77" i="3" s="1"/>
  <c r="K77" i="3" s="1"/>
  <c r="G77" i="3"/>
  <c r="F77" i="3" l="1"/>
  <c r="I77" i="3"/>
  <c r="J77" i="3"/>
  <c r="M77" i="3"/>
  <c r="N77" i="3" s="1"/>
  <c r="V77" i="3"/>
  <c r="AE77" i="3"/>
  <c r="W77" i="3" l="1"/>
  <c r="L77" i="3"/>
  <c r="AH78" i="3" l="1"/>
  <c r="U77" i="3"/>
  <c r="D78" i="3" s="1"/>
  <c r="AG78" i="3"/>
  <c r="Y76" i="3"/>
  <c r="E78" i="3" l="1"/>
  <c r="H78" i="3" s="1"/>
  <c r="K78" i="3" s="1"/>
  <c r="G78" i="3"/>
  <c r="F78" i="3" l="1"/>
  <c r="I78" i="3"/>
  <c r="J78" i="3"/>
  <c r="M78" i="3"/>
  <c r="N78" i="3" s="1"/>
  <c r="V78" i="3"/>
  <c r="AE78" i="3"/>
  <c r="W78" i="3" l="1"/>
  <c r="L78" i="3"/>
  <c r="U78" i="3" l="1"/>
  <c r="E79" i="3" s="1"/>
  <c r="H79" i="3" s="1"/>
  <c r="AH79" i="3"/>
  <c r="AG79" i="3"/>
  <c r="Y77" i="3"/>
  <c r="D79" i="3" l="1"/>
  <c r="G79" i="3" s="1"/>
  <c r="K79" i="3"/>
  <c r="F79" i="3" l="1"/>
  <c r="I79" i="3"/>
  <c r="J79" i="3"/>
  <c r="M79" i="3"/>
  <c r="N79" i="3" s="1"/>
  <c r="V79" i="3"/>
  <c r="AE79" i="3"/>
  <c r="W79" i="3" l="1"/>
  <c r="L79" i="3"/>
  <c r="AH80" i="3" l="1"/>
  <c r="AG80" i="3"/>
  <c r="U79" i="3"/>
  <c r="E80" i="3" s="1"/>
  <c r="H80" i="3" s="1"/>
  <c r="Y78" i="3"/>
  <c r="D80" i="3" l="1"/>
  <c r="F80" i="3" s="1"/>
  <c r="K80" i="3"/>
  <c r="G80" i="3" l="1"/>
  <c r="I80" i="3" s="1"/>
  <c r="V80" i="3"/>
  <c r="AE80" i="3"/>
  <c r="J80" i="3" l="1"/>
  <c r="L80" i="3" s="1"/>
  <c r="M80" i="3"/>
  <c r="N80" i="3" s="1"/>
  <c r="W80" i="3"/>
  <c r="U80" i="3" l="1"/>
  <c r="E81" i="3" s="1"/>
  <c r="H81" i="3" s="1"/>
  <c r="AG81" i="3"/>
  <c r="AH81" i="3"/>
  <c r="Y79" i="3"/>
  <c r="D81" i="3" l="1"/>
  <c r="G81" i="3" s="1"/>
  <c r="K81" i="3"/>
  <c r="F81" i="3" l="1"/>
  <c r="I81" i="3"/>
  <c r="J81" i="3"/>
  <c r="M81" i="3"/>
  <c r="N81" i="3" s="1"/>
  <c r="V81" i="3"/>
  <c r="AE81" i="3"/>
  <c r="W81" i="3" l="1"/>
  <c r="L81" i="3"/>
  <c r="AH82" i="3" l="1"/>
  <c r="AG82" i="3"/>
  <c r="U81" i="3"/>
  <c r="E82" i="3" s="1"/>
  <c r="H82" i="3" s="1"/>
  <c r="Y80" i="3"/>
  <c r="D82" i="3" l="1"/>
  <c r="G82" i="3" s="1"/>
  <c r="K82" i="3"/>
  <c r="F82" i="3" l="1"/>
  <c r="I82" i="3"/>
  <c r="J82" i="3"/>
  <c r="M82" i="3"/>
  <c r="N82" i="3" s="1"/>
  <c r="V82" i="3"/>
  <c r="AE82" i="3"/>
  <c r="W82" i="3" l="1"/>
  <c r="L82" i="3"/>
  <c r="AG83" i="3" l="1"/>
  <c r="U82" i="3"/>
  <c r="D83" i="3" s="1"/>
  <c r="AH83" i="3"/>
  <c r="Y81" i="3"/>
  <c r="E83" i="3" l="1"/>
  <c r="H83" i="3" s="1"/>
  <c r="K83" i="3" s="1"/>
  <c r="G83" i="3"/>
  <c r="F83" i="3" l="1"/>
  <c r="I83" i="3"/>
  <c r="J83" i="3"/>
  <c r="M83" i="3"/>
  <c r="N83" i="3" s="1"/>
  <c r="V83" i="3"/>
  <c r="AE83" i="3"/>
  <c r="W83" i="3" l="1"/>
  <c r="L83" i="3"/>
  <c r="AG84" i="3" l="1"/>
  <c r="AH84" i="3"/>
  <c r="U83" i="3"/>
  <c r="D84" i="3" s="1"/>
  <c r="Y82" i="3"/>
  <c r="G84" i="3" l="1"/>
  <c r="E84" i="3"/>
  <c r="H84" i="3" s="1"/>
  <c r="K84" i="3" l="1"/>
  <c r="I84" i="3"/>
  <c r="J84" i="3"/>
  <c r="M84" i="3"/>
  <c r="N84" i="3" s="1"/>
  <c r="F84" i="3"/>
  <c r="L84" i="3" l="1"/>
  <c r="V84" i="3"/>
  <c r="W84" i="3" s="1"/>
  <c r="AE84" i="3"/>
  <c r="AH85" i="3" l="1"/>
  <c r="AG85" i="3"/>
  <c r="U84" i="3"/>
  <c r="D85" i="3" s="1"/>
  <c r="Y83" i="3"/>
  <c r="E85" i="3" l="1"/>
  <c r="H85" i="3" s="1"/>
  <c r="K85" i="3" s="1"/>
  <c r="G85" i="3"/>
  <c r="F85" i="3" l="1"/>
  <c r="I85" i="3"/>
  <c r="J85" i="3"/>
  <c r="M85" i="3"/>
  <c r="N85" i="3" s="1"/>
  <c r="V85" i="3"/>
  <c r="AE85" i="3"/>
  <c r="W85" i="3" l="1"/>
  <c r="L85" i="3"/>
  <c r="AH86" i="3" l="1"/>
  <c r="AG86" i="3"/>
  <c r="U85" i="3"/>
  <c r="E86" i="3" s="1"/>
  <c r="H86" i="3" s="1"/>
  <c r="Y84" i="3"/>
  <c r="D86" i="3" l="1"/>
  <c r="F86" i="3" s="1"/>
  <c r="K86" i="3"/>
  <c r="G86" i="3" l="1"/>
  <c r="M86" i="3" s="1"/>
  <c r="N86" i="3" s="1"/>
  <c r="V86" i="3"/>
  <c r="AE86" i="3"/>
  <c r="I86" i="3" l="1"/>
  <c r="W86" i="3" s="1"/>
  <c r="J86" i="3"/>
  <c r="L86" i="3" s="1"/>
  <c r="U86" i="3" l="1"/>
  <c r="E87" i="3" s="1"/>
  <c r="H87" i="3" s="1"/>
  <c r="AH87" i="3"/>
  <c r="AG87" i="3"/>
  <c r="Y85" i="3"/>
  <c r="D87" i="3" l="1"/>
  <c r="G87" i="3" s="1"/>
  <c r="K87" i="3"/>
  <c r="F87" i="3" l="1"/>
  <c r="V87" i="3"/>
  <c r="AE87" i="3"/>
  <c r="I87" i="3"/>
  <c r="J87" i="3"/>
  <c r="M87" i="3"/>
  <c r="N87" i="3" s="1"/>
  <c r="L87" i="3" l="1"/>
  <c r="W87" i="3"/>
  <c r="U87" i="3" l="1"/>
  <c r="E88" i="3" s="1"/>
  <c r="H88" i="3" s="1"/>
  <c r="AG88" i="3"/>
  <c r="AH88" i="3"/>
  <c r="Y86" i="3"/>
  <c r="D88" i="3" l="1"/>
  <c r="G88" i="3" s="1"/>
  <c r="K88" i="3"/>
  <c r="F88" i="3" l="1"/>
  <c r="I88" i="3"/>
  <c r="J88" i="3"/>
  <c r="M88" i="3"/>
  <c r="N88" i="3" s="1"/>
  <c r="V88" i="3"/>
  <c r="AE88" i="3"/>
  <c r="W88" i="3" l="1"/>
  <c r="L88" i="3"/>
  <c r="AH89" i="3" l="1"/>
  <c r="U88" i="3"/>
  <c r="E89" i="3" s="1"/>
  <c r="H89" i="3" s="1"/>
  <c r="AG89" i="3"/>
  <c r="Y87" i="3"/>
  <c r="K89" i="3" l="1"/>
  <c r="D89" i="3"/>
  <c r="V89" i="3" l="1"/>
  <c r="AE89" i="3"/>
  <c r="F89" i="3"/>
  <c r="G89" i="3"/>
  <c r="I89" i="3" l="1"/>
  <c r="W89" i="3" s="1"/>
  <c r="J89" i="3"/>
  <c r="M89" i="3"/>
  <c r="N89" i="3" s="1"/>
  <c r="L89" i="3" l="1"/>
  <c r="U89" i="3" l="1"/>
  <c r="D90" i="3" s="1"/>
  <c r="AH90" i="3"/>
  <c r="AG90" i="3"/>
  <c r="Y88" i="3"/>
  <c r="G90" i="3" l="1"/>
  <c r="E90" i="3"/>
  <c r="H90" i="3" s="1"/>
  <c r="F90" i="3" l="1"/>
  <c r="I90" i="3"/>
  <c r="J90" i="3"/>
  <c r="M90" i="3"/>
  <c r="N90" i="3" s="1"/>
  <c r="K90" i="3"/>
  <c r="V90" i="3" l="1"/>
  <c r="W90" i="3" s="1"/>
  <c r="AE90" i="3"/>
  <c r="L90" i="3"/>
  <c r="AG91" i="3" l="1"/>
  <c r="AH91" i="3"/>
  <c r="U90" i="3"/>
  <c r="D91" i="3" s="1"/>
  <c r="Y89" i="3"/>
  <c r="G91" i="3" l="1"/>
  <c r="E91" i="3"/>
  <c r="H91" i="3" s="1"/>
  <c r="F91" i="3" l="1"/>
  <c r="I91" i="3"/>
  <c r="J91" i="3"/>
  <c r="M91" i="3"/>
  <c r="N91" i="3" s="1"/>
  <c r="K91" i="3"/>
  <c r="V91" i="3" l="1"/>
  <c r="W91" i="3" s="1"/>
  <c r="AE91" i="3"/>
  <c r="L91" i="3"/>
  <c r="AH92" i="3" l="1"/>
  <c r="AG92" i="3"/>
  <c r="U91" i="3"/>
  <c r="D92" i="3" s="1"/>
  <c r="Y90" i="3"/>
  <c r="G92" i="3" l="1"/>
  <c r="E92" i="3"/>
  <c r="H92" i="3" s="1"/>
  <c r="F92" i="3" l="1"/>
  <c r="I92" i="3"/>
  <c r="J92" i="3"/>
  <c r="M92" i="3"/>
  <c r="N92" i="3" s="1"/>
  <c r="K92" i="3"/>
  <c r="V92" i="3" l="1"/>
  <c r="W92" i="3" s="1"/>
  <c r="AE92" i="3"/>
  <c r="L92" i="3"/>
  <c r="U92" i="3" l="1"/>
  <c r="D93" i="3" s="1"/>
  <c r="AH93" i="3"/>
  <c r="AG93" i="3"/>
  <c r="Y91" i="3"/>
  <c r="E93" i="3" l="1"/>
  <c r="H93" i="3" s="1"/>
  <c r="K93" i="3" s="1"/>
  <c r="G93" i="3"/>
  <c r="F93" i="3" l="1"/>
  <c r="I93" i="3"/>
  <c r="J93" i="3"/>
  <c r="M93" i="3"/>
  <c r="N93" i="3" s="1"/>
  <c r="V93" i="3"/>
  <c r="AE93" i="3"/>
  <c r="W93" i="3" l="1"/>
  <c r="L93" i="3"/>
  <c r="AG94" i="3" l="1"/>
  <c r="AH94" i="3"/>
  <c r="U93" i="3"/>
  <c r="D94" i="3" s="1"/>
  <c r="Y92" i="3"/>
  <c r="E94" i="3" l="1"/>
  <c r="H94" i="3" s="1"/>
  <c r="K94" i="3" s="1"/>
  <c r="G94" i="3"/>
  <c r="F94" i="3" l="1"/>
  <c r="I94" i="3"/>
  <c r="J94" i="3"/>
  <c r="M94" i="3"/>
  <c r="N94" i="3" s="1"/>
  <c r="V94" i="3"/>
  <c r="AE94" i="3"/>
  <c r="L94" i="3" l="1"/>
  <c r="W94" i="3"/>
  <c r="U94" i="3" l="1"/>
  <c r="D95" i="3" s="1"/>
  <c r="AG95" i="3"/>
  <c r="AH95" i="3"/>
  <c r="Y93" i="3"/>
  <c r="E95" i="3" l="1"/>
  <c r="H95" i="3" s="1"/>
  <c r="K95" i="3" s="1"/>
  <c r="G95" i="3"/>
  <c r="F95" i="3" l="1"/>
  <c r="I95" i="3"/>
  <c r="J95" i="3"/>
  <c r="M95" i="3"/>
  <c r="N95" i="3" s="1"/>
  <c r="V95" i="3"/>
  <c r="AE95" i="3"/>
  <c r="W95" i="3" l="1"/>
  <c r="L95" i="3"/>
  <c r="AG96" i="3" l="1"/>
  <c r="AH96" i="3"/>
  <c r="U95" i="3"/>
  <c r="D96" i="3" s="1"/>
  <c r="Y94" i="3"/>
  <c r="G96" i="3" l="1"/>
  <c r="E96" i="3"/>
  <c r="H96" i="3" s="1"/>
  <c r="F96" i="3" l="1"/>
  <c r="I96" i="3"/>
  <c r="J96" i="3"/>
  <c r="M96" i="3"/>
  <c r="N96" i="3" s="1"/>
  <c r="K96" i="3"/>
  <c r="L96" i="3" l="1"/>
  <c r="V96" i="3"/>
  <c r="W96" i="3" s="1"/>
  <c r="AE96" i="3"/>
  <c r="AG97" i="3" l="1"/>
  <c r="AH97" i="3"/>
  <c r="U96" i="3"/>
  <c r="E97" i="3" s="1"/>
  <c r="H97" i="3" s="1"/>
  <c r="Y95" i="3"/>
  <c r="K97" i="3" l="1"/>
  <c r="D97" i="3"/>
  <c r="V97" i="3" l="1"/>
  <c r="AE97" i="3"/>
  <c r="F97" i="3"/>
  <c r="G97" i="3"/>
  <c r="I97" i="3" l="1"/>
  <c r="W97" i="3" s="1"/>
  <c r="J97" i="3"/>
  <c r="M97" i="3"/>
  <c r="N97" i="3" s="1"/>
  <c r="L97" i="3" l="1"/>
  <c r="U97" i="3" l="1"/>
  <c r="D98" i="3" s="1"/>
  <c r="AH98" i="3"/>
  <c r="AG98" i="3"/>
  <c r="Y96" i="3"/>
  <c r="G98" i="3" l="1"/>
  <c r="E98" i="3"/>
  <c r="H98" i="3" s="1"/>
  <c r="I98" i="3" l="1"/>
  <c r="J98" i="3"/>
  <c r="M98" i="3"/>
  <c r="N98" i="3" s="1"/>
  <c r="F98" i="3"/>
  <c r="K98" i="3"/>
  <c r="L98" i="3" l="1"/>
  <c r="V98" i="3"/>
  <c r="W98" i="3" s="1"/>
  <c r="AE98" i="3"/>
  <c r="AG99" i="3" l="1"/>
  <c r="AH99" i="3"/>
  <c r="U98" i="3"/>
  <c r="D99" i="3" s="1"/>
  <c r="Y97" i="3"/>
  <c r="G99" i="3" l="1"/>
  <c r="E99" i="3"/>
  <c r="H99" i="3" s="1"/>
  <c r="F99" i="3" l="1"/>
  <c r="I99" i="3"/>
  <c r="J99" i="3"/>
  <c r="M99" i="3"/>
  <c r="N99" i="3" s="1"/>
  <c r="K99" i="3"/>
  <c r="V99" i="3" l="1"/>
  <c r="W99" i="3" s="1"/>
  <c r="AE99" i="3"/>
  <c r="L99" i="3"/>
  <c r="U99" i="3" l="1"/>
  <c r="D100" i="3" s="1"/>
  <c r="AH100" i="3"/>
  <c r="AG100" i="3"/>
  <c r="Y98" i="3"/>
  <c r="E100" i="3" l="1"/>
  <c r="H100" i="3" s="1"/>
  <c r="K100" i="3" s="1"/>
  <c r="G100" i="3"/>
  <c r="F100" i="3" l="1"/>
  <c r="V100" i="3"/>
  <c r="AE100" i="3"/>
  <c r="I100" i="3"/>
  <c r="J100" i="3"/>
  <c r="M100" i="3"/>
  <c r="N100" i="3" s="1"/>
  <c r="W100" i="3" l="1"/>
  <c r="L100" i="3"/>
  <c r="AH101" i="3" l="1"/>
  <c r="U100" i="3"/>
  <c r="E101" i="3" s="1"/>
  <c r="H101" i="3" s="1"/>
  <c r="AG101" i="3"/>
  <c r="Y99" i="3"/>
  <c r="K101" i="3" l="1"/>
  <c r="D101" i="3"/>
  <c r="V101" i="3" l="1"/>
  <c r="AE101" i="3"/>
  <c r="F101" i="3"/>
  <c r="G101" i="3"/>
  <c r="I101" i="3" l="1"/>
  <c r="W101" i="3" s="1"/>
  <c r="J101" i="3"/>
  <c r="M101" i="3"/>
  <c r="N101" i="3" s="1"/>
  <c r="L101" i="3" l="1"/>
  <c r="AH102" i="3" l="1"/>
  <c r="AG102" i="3"/>
  <c r="U101" i="3"/>
  <c r="E102" i="3" s="1"/>
  <c r="H102" i="3" s="1"/>
  <c r="Y100" i="3"/>
  <c r="K102" i="3" l="1"/>
  <c r="D102" i="3"/>
  <c r="V102" i="3" l="1"/>
  <c r="AE102" i="3"/>
  <c r="F102" i="3"/>
  <c r="G102" i="3"/>
  <c r="I102" i="3" l="1"/>
  <c r="W102" i="3" s="1"/>
  <c r="J102" i="3"/>
  <c r="M102" i="3"/>
  <c r="N102" i="3" s="1"/>
  <c r="L102" i="3" l="1"/>
  <c r="AG103" i="3" l="1"/>
  <c r="AH103" i="3"/>
  <c r="U102" i="3"/>
  <c r="E103" i="3" s="1"/>
  <c r="H103" i="3" s="1"/>
  <c r="Y101" i="3"/>
  <c r="K103" i="3" l="1"/>
  <c r="D103" i="3"/>
  <c r="V103" i="3" l="1"/>
  <c r="AE103" i="3"/>
  <c r="F103" i="3"/>
  <c r="G103" i="3"/>
  <c r="I103" i="3" l="1"/>
  <c r="W103" i="3" s="1"/>
  <c r="J103" i="3"/>
  <c r="M103" i="3"/>
  <c r="N103" i="3" s="1"/>
  <c r="L103" i="3" l="1"/>
  <c r="AG104" i="3" l="1"/>
  <c r="AH104" i="3"/>
  <c r="U103" i="3"/>
  <c r="E104" i="3" s="1"/>
  <c r="H104" i="3" s="1"/>
  <c r="Y102" i="3"/>
  <c r="K104" i="3" l="1"/>
  <c r="A105" i="3" s="1"/>
  <c r="B105" i="3" s="1"/>
  <c r="D104" i="3"/>
  <c r="AA105" i="3" l="1"/>
  <c r="P105" i="3"/>
  <c r="Q105" i="3" s="1"/>
  <c r="R105" i="3" s="1"/>
  <c r="S105" i="3" s="1"/>
  <c r="AD105" i="3"/>
  <c r="Z105" i="3"/>
  <c r="AC105" i="3"/>
  <c r="V104" i="3"/>
  <c r="AE104" i="3"/>
  <c r="F104" i="3"/>
  <c r="G104" i="3"/>
  <c r="T105" i="3" l="1"/>
  <c r="I104" i="3"/>
  <c r="W104" i="3" s="1"/>
  <c r="J104" i="3"/>
  <c r="M104" i="3"/>
  <c r="N104" i="3" s="1"/>
  <c r="L104" i="3" l="1"/>
  <c r="AD104" i="3"/>
  <c r="U104" i="3" l="1"/>
  <c r="E105" i="3" s="1"/>
  <c r="H105" i="3" s="1"/>
  <c r="AG105" i="3"/>
  <c r="AH105" i="3"/>
  <c r="Y103" i="3"/>
  <c r="D105" i="3" l="1"/>
  <c r="G105" i="3" s="1"/>
  <c r="K105" i="3"/>
  <c r="A106" i="3" s="1"/>
  <c r="B106" i="3" s="1"/>
  <c r="Z106" i="3" l="1"/>
  <c r="AC106" i="3"/>
  <c r="AA106" i="3"/>
  <c r="AD106" i="3"/>
  <c r="P106" i="3"/>
  <c r="Q106" i="3" s="1"/>
  <c r="R106" i="3" s="1"/>
  <c r="S106" i="3" s="1"/>
  <c r="F105" i="3"/>
  <c r="V105" i="3"/>
  <c r="AE105" i="3"/>
  <c r="I105" i="3"/>
  <c r="J105" i="3"/>
  <c r="M105" i="3"/>
  <c r="N105" i="3" s="1"/>
  <c r="T106" i="3" l="1"/>
  <c r="W105" i="3"/>
  <c r="L105" i="3"/>
  <c r="AH106" i="3" l="1"/>
  <c r="AG106" i="3"/>
  <c r="U105" i="3"/>
  <c r="D106" i="3" s="1"/>
  <c r="Y104" i="3"/>
  <c r="E106" i="3" l="1"/>
  <c r="H106" i="3" s="1"/>
  <c r="K106" i="3" s="1"/>
  <c r="A107" i="3" s="1"/>
  <c r="B107" i="3" s="1"/>
  <c r="G106" i="3"/>
  <c r="Z107" i="3" l="1"/>
  <c r="AA107" i="3"/>
  <c r="AC107" i="3"/>
  <c r="P107" i="3"/>
  <c r="Q107" i="3" s="1"/>
  <c r="R107" i="3" s="1"/>
  <c r="S107" i="3" s="1"/>
  <c r="AD107" i="3"/>
  <c r="F106" i="3"/>
  <c r="V106" i="3"/>
  <c r="AE106" i="3"/>
  <c r="I106" i="3"/>
  <c r="J106" i="3"/>
  <c r="M106" i="3"/>
  <c r="N106" i="3" s="1"/>
  <c r="T107" i="3" l="1"/>
  <c r="W106" i="3"/>
  <c r="L106" i="3"/>
  <c r="AG107" i="3" l="1"/>
  <c r="AH107" i="3"/>
  <c r="U106" i="3"/>
  <c r="E107" i="3" s="1"/>
  <c r="H107" i="3" s="1"/>
  <c r="Y105" i="3"/>
  <c r="K107" i="3" l="1"/>
  <c r="A108" i="3" s="1"/>
  <c r="B108" i="3" s="1"/>
  <c r="D107" i="3"/>
  <c r="AA108" i="3" l="1"/>
  <c r="AC108" i="3"/>
  <c r="AD108" i="3"/>
  <c r="Z108" i="3"/>
  <c r="P108" i="3"/>
  <c r="Q108" i="3" s="1"/>
  <c r="R108" i="3" s="1"/>
  <c r="S108" i="3" s="1"/>
  <c r="V107" i="3"/>
  <c r="AE107" i="3"/>
  <c r="F107" i="3"/>
  <c r="G107" i="3"/>
  <c r="T108" i="3" l="1"/>
  <c r="I107" i="3"/>
  <c r="W107" i="3" s="1"/>
  <c r="J107" i="3"/>
  <c r="M107" i="3"/>
  <c r="N107" i="3" s="1"/>
  <c r="L107" i="3" l="1"/>
  <c r="AH108" i="3" l="1"/>
  <c r="U107" i="3"/>
  <c r="E108" i="3" s="1"/>
  <c r="H108" i="3" s="1"/>
  <c r="AG108" i="3"/>
  <c r="Y106" i="3"/>
  <c r="D108" i="3" l="1"/>
  <c r="G108" i="3" s="1"/>
  <c r="K108" i="3"/>
  <c r="A109" i="3" s="1"/>
  <c r="B109" i="3" s="1"/>
  <c r="P109" i="3" l="1"/>
  <c r="Q109" i="3" s="1"/>
  <c r="R109" i="3" s="1"/>
  <c r="S109" i="3" s="1"/>
  <c r="AA109" i="3"/>
  <c r="Z109" i="3"/>
  <c r="AD109" i="3"/>
  <c r="AC109" i="3"/>
  <c r="F108" i="3"/>
  <c r="I108" i="3"/>
  <c r="J108" i="3"/>
  <c r="M108" i="3"/>
  <c r="N108" i="3" s="1"/>
  <c r="V108" i="3"/>
  <c r="AE108" i="3"/>
  <c r="T109" i="3" l="1"/>
  <c r="W108" i="3"/>
  <c r="L108" i="3"/>
  <c r="AG109" i="3" l="1"/>
  <c r="U108" i="3"/>
  <c r="D109" i="3" s="1"/>
  <c r="AH109" i="3"/>
  <c r="Y107" i="3"/>
  <c r="E109" i="3" l="1"/>
  <c r="H109" i="3" s="1"/>
  <c r="K109" i="3" s="1"/>
  <c r="A110" i="3" s="1"/>
  <c r="B110" i="3" s="1"/>
  <c r="G109" i="3"/>
  <c r="AD110" i="3" l="1"/>
  <c r="P110" i="3"/>
  <c r="Q110" i="3" s="1"/>
  <c r="R110" i="3" s="1"/>
  <c r="S110" i="3" s="1"/>
  <c r="AA110" i="3"/>
  <c r="Z110" i="3"/>
  <c r="AC110" i="3"/>
  <c r="F109" i="3"/>
  <c r="V109" i="3"/>
  <c r="AE109" i="3"/>
  <c r="I109" i="3"/>
  <c r="J109" i="3"/>
  <c r="M109" i="3"/>
  <c r="N109" i="3" s="1"/>
  <c r="T110" i="3" l="1"/>
  <c r="L109" i="3"/>
  <c r="W109" i="3"/>
  <c r="AH110" i="3" l="1"/>
  <c r="AG110" i="3"/>
  <c r="U109" i="3"/>
  <c r="D110" i="3" s="1"/>
  <c r="Y108" i="3"/>
  <c r="E110" i="3" l="1"/>
  <c r="H110" i="3" s="1"/>
  <c r="K110" i="3" s="1"/>
  <c r="A111" i="3" s="1"/>
  <c r="B111" i="3" s="1"/>
  <c r="G110" i="3"/>
  <c r="AA111" i="3" l="1"/>
  <c r="AC111" i="3"/>
  <c r="P111" i="3"/>
  <c r="Q111" i="3" s="1"/>
  <c r="R111" i="3" s="1"/>
  <c r="S111" i="3" s="1"/>
  <c r="Z111" i="3"/>
  <c r="AD111" i="3"/>
  <c r="F110" i="3"/>
  <c r="I110" i="3"/>
  <c r="J110" i="3"/>
  <c r="M110" i="3"/>
  <c r="N110" i="3" s="1"/>
  <c r="V110" i="3"/>
  <c r="AE110" i="3"/>
  <c r="T111" i="3" l="1"/>
  <c r="W110" i="3"/>
  <c r="L110" i="3"/>
  <c r="AH111" i="3" l="1"/>
  <c r="U110" i="3"/>
  <c r="E111" i="3" s="1"/>
  <c r="H111" i="3" s="1"/>
  <c r="AG111" i="3"/>
  <c r="Y109" i="3"/>
  <c r="D111" i="3" l="1"/>
  <c r="G111" i="3" s="1"/>
  <c r="K111" i="3"/>
  <c r="A112" i="3" s="1"/>
  <c r="B112" i="3" s="1"/>
  <c r="AD112" i="3" l="1"/>
  <c r="AA112" i="3"/>
  <c r="AC112" i="3"/>
  <c r="P112" i="3"/>
  <c r="Q112" i="3" s="1"/>
  <c r="R112" i="3" s="1"/>
  <c r="S112" i="3" s="1"/>
  <c r="Z112" i="3"/>
  <c r="F111" i="3"/>
  <c r="I111" i="3"/>
  <c r="J111" i="3"/>
  <c r="M111" i="3"/>
  <c r="N111" i="3" s="1"/>
  <c r="V111" i="3"/>
  <c r="AE111" i="3"/>
  <c r="T112" i="3" l="1"/>
  <c r="W111" i="3"/>
  <c r="L111" i="3"/>
  <c r="AH112" i="3" l="1"/>
  <c r="U111" i="3"/>
  <c r="D112" i="3" s="1"/>
  <c r="AG112" i="3"/>
  <c r="Y110" i="3"/>
  <c r="E112" i="3" l="1"/>
  <c r="H112" i="3" s="1"/>
  <c r="K112" i="3" s="1"/>
  <c r="A113" i="3" s="1"/>
  <c r="B113" i="3" s="1"/>
  <c r="G112" i="3"/>
  <c r="AC113" i="3" l="1"/>
  <c r="AA113" i="3"/>
  <c r="Z113" i="3"/>
  <c r="P113" i="3"/>
  <c r="Q113" i="3" s="1"/>
  <c r="R113" i="3" s="1"/>
  <c r="S113" i="3" s="1"/>
  <c r="AD113" i="3"/>
  <c r="F112" i="3"/>
  <c r="V112" i="3"/>
  <c r="AE112" i="3"/>
  <c r="I112" i="3"/>
  <c r="J112" i="3"/>
  <c r="M112" i="3"/>
  <c r="N112" i="3" s="1"/>
  <c r="T113" i="3" l="1"/>
  <c r="W112" i="3"/>
  <c r="L112" i="3"/>
  <c r="AG113" i="3" l="1"/>
  <c r="U112" i="3"/>
  <c r="E113" i="3" s="1"/>
  <c r="H113" i="3" s="1"/>
  <c r="AH113" i="3"/>
  <c r="Y111" i="3"/>
  <c r="D113" i="3" l="1"/>
  <c r="G113" i="3" s="1"/>
  <c r="K113" i="3"/>
  <c r="A114" i="3" s="1"/>
  <c r="B114" i="3" s="1"/>
  <c r="Z114" i="3" l="1"/>
  <c r="AC114" i="3"/>
  <c r="AA114" i="3"/>
  <c r="P114" i="3"/>
  <c r="Q114" i="3" s="1"/>
  <c r="R114" i="3" s="1"/>
  <c r="S114" i="3" s="1"/>
  <c r="F113" i="3"/>
  <c r="V113" i="3"/>
  <c r="AE113" i="3"/>
  <c r="I113" i="3"/>
  <c r="J113" i="3"/>
  <c r="M113" i="3"/>
  <c r="N113" i="3" s="1"/>
  <c r="T114" i="3" l="1"/>
  <c r="W113" i="3"/>
  <c r="L113" i="3"/>
  <c r="AH114" i="3" l="1"/>
  <c r="U113" i="3"/>
  <c r="D114" i="3" s="1"/>
  <c r="AG114" i="3"/>
  <c r="Y112" i="3"/>
  <c r="E114" i="3" l="1"/>
  <c r="H114" i="3" s="1"/>
  <c r="K114" i="3" s="1"/>
  <c r="A115" i="3" s="1"/>
  <c r="B115" i="3" s="1"/>
  <c r="G114" i="3"/>
  <c r="AA115" i="3" l="1"/>
  <c r="AD115" i="3"/>
  <c r="P115" i="3"/>
  <c r="Q115" i="3" s="1"/>
  <c r="R115" i="3" s="1"/>
  <c r="S115" i="3" s="1"/>
  <c r="Z115" i="3"/>
  <c r="AC115" i="3"/>
  <c r="F114" i="3"/>
  <c r="I114" i="3"/>
  <c r="J114" i="3"/>
  <c r="AD114" i="3" s="1"/>
  <c r="M114" i="3"/>
  <c r="N114" i="3" s="1"/>
  <c r="V114" i="3"/>
  <c r="AE114" i="3"/>
  <c r="T115" i="3" l="1"/>
  <c r="W114" i="3"/>
  <c r="L114" i="3"/>
  <c r="U114" i="3" l="1"/>
  <c r="D115" i="3" s="1"/>
  <c r="AH115" i="3"/>
  <c r="AG115" i="3"/>
  <c r="Y113" i="3"/>
  <c r="G115" i="3" l="1"/>
  <c r="E115" i="3"/>
  <c r="H115" i="3" s="1"/>
  <c r="F115" i="3" l="1"/>
  <c r="I115" i="3"/>
  <c r="J115" i="3"/>
  <c r="M115" i="3"/>
  <c r="N115" i="3" s="1"/>
  <c r="K115" i="3"/>
  <c r="A116" i="3" s="1"/>
  <c r="B116" i="3" s="1"/>
  <c r="AD116" i="3" l="1"/>
  <c r="AA116" i="3"/>
  <c r="AC116" i="3"/>
  <c r="Z116" i="3"/>
  <c r="P116" i="3"/>
  <c r="Q116" i="3" s="1"/>
  <c r="R116" i="3" s="1"/>
  <c r="S116" i="3" s="1"/>
  <c r="V115" i="3"/>
  <c r="W115" i="3" s="1"/>
  <c r="AE115" i="3"/>
  <c r="L115" i="3"/>
  <c r="T116" i="3" l="1"/>
  <c r="AH116" i="3" s="1"/>
  <c r="U115" i="3"/>
  <c r="Y114" i="3"/>
  <c r="AG116" i="3" l="1"/>
  <c r="E116" i="3"/>
  <c r="H116" i="3" s="1"/>
  <c r="K116" i="3" s="1"/>
  <c r="A117" i="3" s="1"/>
  <c r="B117" i="3" s="1"/>
  <c r="D116" i="3"/>
  <c r="P117" i="3" l="1"/>
  <c r="Q117" i="3" s="1"/>
  <c r="R117" i="3" s="1"/>
  <c r="S117" i="3" s="1"/>
  <c r="AC117" i="3"/>
  <c r="AD117" i="3"/>
  <c r="AA117" i="3"/>
  <c r="Z117" i="3"/>
  <c r="V116" i="3"/>
  <c r="AE116" i="3"/>
  <c r="F116" i="3"/>
  <c r="G116" i="3"/>
  <c r="T117" i="3" l="1"/>
  <c r="I116" i="3"/>
  <c r="W116" i="3" s="1"/>
  <c r="J116" i="3"/>
  <c r="M116" i="3"/>
  <c r="N116" i="3" s="1"/>
  <c r="L116" i="3" l="1"/>
  <c r="U116" i="3" l="1"/>
  <c r="D117" i="3" s="1"/>
  <c r="AH117" i="3"/>
  <c r="AG117" i="3"/>
  <c r="Y115" i="3"/>
  <c r="E117" i="3" l="1"/>
  <c r="H117" i="3" s="1"/>
  <c r="K117" i="3" s="1"/>
  <c r="A118" i="3" s="1"/>
  <c r="B118" i="3" s="1"/>
  <c r="G117" i="3"/>
  <c r="P118" i="3" l="1"/>
  <c r="Q118" i="3" s="1"/>
  <c r="R118" i="3" s="1"/>
  <c r="S118" i="3" s="1"/>
  <c r="Z118" i="3"/>
  <c r="AA118" i="3"/>
  <c r="AC118" i="3"/>
  <c r="AD118" i="3"/>
  <c r="F117" i="3"/>
  <c r="I117" i="3"/>
  <c r="J117" i="3"/>
  <c r="M117" i="3"/>
  <c r="N117" i="3" s="1"/>
  <c r="V117" i="3"/>
  <c r="AE117" i="3"/>
  <c r="T118" i="3" l="1"/>
  <c r="W117" i="3"/>
  <c r="L117" i="3"/>
  <c r="AG118" i="3" l="1"/>
  <c r="U117" i="3"/>
  <c r="D118" i="3" s="1"/>
  <c r="AH118" i="3"/>
  <c r="Y116" i="3"/>
  <c r="E118" i="3" l="1"/>
  <c r="H118" i="3" s="1"/>
  <c r="K118" i="3" s="1"/>
  <c r="A119" i="3" s="1"/>
  <c r="B119" i="3" s="1"/>
  <c r="G118" i="3"/>
  <c r="AD119" i="3" l="1"/>
  <c r="Z119" i="3"/>
  <c r="AA119" i="3"/>
  <c r="P119" i="3"/>
  <c r="Q119" i="3" s="1"/>
  <c r="R119" i="3" s="1"/>
  <c r="S119" i="3" s="1"/>
  <c r="AC119" i="3"/>
  <c r="F118" i="3"/>
  <c r="I118" i="3"/>
  <c r="J118" i="3"/>
  <c r="M118" i="3"/>
  <c r="N118" i="3" s="1"/>
  <c r="V118" i="3"/>
  <c r="AE118" i="3"/>
  <c r="T119" i="3" l="1"/>
  <c r="L118" i="3"/>
  <c r="W118" i="3"/>
  <c r="U118" i="3" l="1"/>
  <c r="E119" i="3" s="1"/>
  <c r="H119" i="3" s="1"/>
  <c r="AG119" i="3"/>
  <c r="AH119" i="3"/>
  <c r="Y117" i="3"/>
  <c r="D119" i="3" l="1"/>
  <c r="F119" i="3" s="1"/>
  <c r="K119" i="3"/>
  <c r="A120" i="3" s="1"/>
  <c r="B120" i="3" s="1"/>
  <c r="P120" i="3" l="1"/>
  <c r="Q120" i="3" s="1"/>
  <c r="R120" i="3" s="1"/>
  <c r="S120" i="3" s="1"/>
  <c r="Z120" i="3"/>
  <c r="AA120" i="3"/>
  <c r="AC120" i="3"/>
  <c r="AD120" i="3"/>
  <c r="G119" i="3"/>
  <c r="M119" i="3" s="1"/>
  <c r="N119" i="3" s="1"/>
  <c r="V119" i="3"/>
  <c r="AE119" i="3"/>
  <c r="T120" i="3" l="1"/>
  <c r="I119" i="3"/>
  <c r="W119" i="3" s="1"/>
  <c r="J119" i="3"/>
  <c r="L119" i="3" s="1"/>
  <c r="AH120" i="3" l="1"/>
  <c r="U119" i="3"/>
  <c r="D120" i="3" s="1"/>
  <c r="AG120" i="3"/>
  <c r="Y118" i="3"/>
  <c r="E120" i="3" l="1"/>
  <c r="H120" i="3" s="1"/>
  <c r="K120" i="3" s="1"/>
  <c r="A121" i="3" s="1"/>
  <c r="B121" i="3" s="1"/>
  <c r="G120" i="3"/>
  <c r="P121" i="3" l="1"/>
  <c r="Q121" i="3" s="1"/>
  <c r="R121" i="3" s="1"/>
  <c r="S121" i="3" s="1"/>
  <c r="AC121" i="3"/>
  <c r="AA121" i="3"/>
  <c r="Z121" i="3"/>
  <c r="AD121" i="3"/>
  <c r="F120" i="3"/>
  <c r="I120" i="3"/>
  <c r="J120" i="3"/>
  <c r="M120" i="3"/>
  <c r="N120" i="3" s="1"/>
  <c r="V120" i="3"/>
  <c r="AE120" i="3"/>
  <c r="T121" i="3" l="1"/>
  <c r="W120" i="3"/>
  <c r="L120" i="3"/>
  <c r="U120" i="3" l="1"/>
  <c r="E121" i="3" s="1"/>
  <c r="H121" i="3" s="1"/>
  <c r="AH121" i="3"/>
  <c r="AG121" i="3"/>
  <c r="Y119" i="3"/>
  <c r="D121" i="3" l="1"/>
  <c r="G121" i="3" s="1"/>
  <c r="K121" i="3"/>
  <c r="A122" i="3" s="1"/>
  <c r="B122" i="3" s="1"/>
  <c r="AA122" i="3" l="1"/>
  <c r="AD122" i="3"/>
  <c r="Z122" i="3"/>
  <c r="P122" i="3"/>
  <c r="Q122" i="3" s="1"/>
  <c r="R122" i="3" s="1"/>
  <c r="S122" i="3" s="1"/>
  <c r="AC122" i="3"/>
  <c r="F121" i="3"/>
  <c r="I121" i="3"/>
  <c r="J121" i="3"/>
  <c r="M121" i="3"/>
  <c r="N121" i="3" s="1"/>
  <c r="V121" i="3"/>
  <c r="AE121" i="3"/>
  <c r="T122" i="3" l="1"/>
  <c r="L121" i="3"/>
  <c r="W121" i="3"/>
  <c r="U121" i="3" l="1"/>
  <c r="D122" i="3" s="1"/>
  <c r="AG122" i="3"/>
  <c r="AH122" i="3"/>
  <c r="Y120" i="3"/>
  <c r="G122" i="3" l="1"/>
  <c r="E122" i="3"/>
  <c r="H122" i="3" s="1"/>
  <c r="F122" i="3" l="1"/>
  <c r="K122" i="3"/>
  <c r="A123" i="3" s="1"/>
  <c r="B123" i="3" s="1"/>
  <c r="I122" i="3"/>
  <c r="J122" i="3"/>
  <c r="M122" i="3"/>
  <c r="N122" i="3" s="1"/>
  <c r="P123" i="3" l="1"/>
  <c r="Q123" i="3" s="1"/>
  <c r="R123" i="3" s="1"/>
  <c r="S123" i="3" s="1"/>
  <c r="Z123" i="3"/>
  <c r="AC123" i="3"/>
  <c r="AD123" i="3"/>
  <c r="AA123" i="3"/>
  <c r="L122" i="3"/>
  <c r="V122" i="3"/>
  <c r="W122" i="3" s="1"/>
  <c r="AE122" i="3"/>
  <c r="T123" i="3" l="1"/>
  <c r="AG123" i="3" s="1"/>
  <c r="U122" i="3"/>
  <c r="Y121" i="3"/>
  <c r="AH123" i="3" l="1"/>
  <c r="D123" i="3"/>
  <c r="G123" i="3" s="1"/>
  <c r="E123" i="3"/>
  <c r="H123" i="3" s="1"/>
  <c r="I123" i="3" l="1"/>
  <c r="J123" i="3"/>
  <c r="M123" i="3"/>
  <c r="N123" i="3" s="1"/>
  <c r="K123" i="3"/>
  <c r="A124" i="3" s="1"/>
  <c r="B124" i="3" s="1"/>
  <c r="F123" i="3"/>
  <c r="AC124" i="3" l="1"/>
  <c r="AA124" i="3"/>
  <c r="Z124" i="3"/>
  <c r="P124" i="3"/>
  <c r="Q124" i="3" s="1"/>
  <c r="R124" i="3" s="1"/>
  <c r="S124" i="3" s="1"/>
  <c r="V123" i="3"/>
  <c r="W123" i="3" s="1"/>
  <c r="AE123" i="3"/>
  <c r="L123" i="3"/>
  <c r="T124" i="3" l="1"/>
  <c r="AG124" i="3" s="1"/>
  <c r="U123" i="3"/>
  <c r="Y122" i="3"/>
  <c r="AH124" i="3" l="1"/>
  <c r="D124" i="3"/>
  <c r="G124" i="3" s="1"/>
  <c r="E124" i="3"/>
  <c r="H124" i="3" s="1"/>
  <c r="K124" i="3" s="1"/>
  <c r="A125" i="3" s="1"/>
  <c r="B125" i="3" s="1"/>
  <c r="Z125" i="3" l="1"/>
  <c r="AD125" i="3"/>
  <c r="AC125" i="3"/>
  <c r="AA125" i="3"/>
  <c r="P125" i="3"/>
  <c r="Q125" i="3" s="1"/>
  <c r="R125" i="3" s="1"/>
  <c r="S125" i="3" s="1"/>
  <c r="F124" i="3"/>
  <c r="I124" i="3"/>
  <c r="J124" i="3"/>
  <c r="AD124" i="3" s="1"/>
  <c r="M124" i="3"/>
  <c r="N124" i="3" s="1"/>
  <c r="V124" i="3"/>
  <c r="AE124" i="3"/>
  <c r="T125" i="3" l="1"/>
  <c r="W124" i="3"/>
  <c r="L124" i="3"/>
  <c r="U124" i="3" l="1"/>
  <c r="E125" i="3" s="1"/>
  <c r="H125" i="3" s="1"/>
  <c r="AH125" i="3"/>
  <c r="AG125" i="3"/>
  <c r="Y123" i="3"/>
  <c r="K125" i="3" l="1"/>
  <c r="A126" i="3" s="1"/>
  <c r="B126" i="3" s="1"/>
  <c r="D125" i="3"/>
  <c r="AA126" i="3" l="1"/>
  <c r="P126" i="3"/>
  <c r="Q126" i="3" s="1"/>
  <c r="R126" i="3" s="1"/>
  <c r="S126" i="3" s="1"/>
  <c r="Z126" i="3"/>
  <c r="AD126" i="3"/>
  <c r="AC126" i="3"/>
  <c r="V125" i="3"/>
  <c r="AE125" i="3"/>
  <c r="F125" i="3"/>
  <c r="G125" i="3"/>
  <c r="T126" i="3" l="1"/>
  <c r="I125" i="3"/>
  <c r="W125" i="3" s="1"/>
  <c r="J125" i="3"/>
  <c r="M125" i="3"/>
  <c r="N125" i="3" s="1"/>
  <c r="L125" i="3" l="1"/>
  <c r="AG126" i="3" l="1"/>
  <c r="AH126" i="3"/>
  <c r="U125" i="3"/>
  <c r="D126" i="3" s="1"/>
  <c r="Y124" i="3"/>
  <c r="E126" i="3" l="1"/>
  <c r="H126" i="3" s="1"/>
  <c r="K126" i="3" s="1"/>
  <c r="A127" i="3" s="1"/>
  <c r="B127" i="3" s="1"/>
  <c r="G126" i="3"/>
  <c r="AC127" i="3" l="1"/>
  <c r="P127" i="3"/>
  <c r="Q127" i="3" s="1"/>
  <c r="R127" i="3" s="1"/>
  <c r="S127" i="3" s="1"/>
  <c r="AA127" i="3"/>
  <c r="Z127" i="3"/>
  <c r="AD127" i="3"/>
  <c r="F126" i="3"/>
  <c r="I126" i="3"/>
  <c r="J126" i="3"/>
  <c r="M126" i="3"/>
  <c r="N126" i="3" s="1"/>
  <c r="V126" i="3"/>
  <c r="AE126" i="3"/>
  <c r="T127" i="3" l="1"/>
  <c r="W126" i="3"/>
  <c r="L126" i="3"/>
  <c r="U126" i="3" l="1"/>
  <c r="E127" i="3" s="1"/>
  <c r="H127" i="3" s="1"/>
  <c r="AH127" i="3"/>
  <c r="AG127" i="3"/>
  <c r="Y125" i="3"/>
  <c r="D127" i="3" l="1"/>
  <c r="G127" i="3" s="1"/>
  <c r="K127" i="3"/>
  <c r="A128" i="3" s="1"/>
  <c r="B128" i="3" s="1"/>
  <c r="Z128" i="3" l="1"/>
  <c r="AC128" i="3"/>
  <c r="AD128" i="3"/>
  <c r="P128" i="3"/>
  <c r="Q128" i="3" s="1"/>
  <c r="R128" i="3" s="1"/>
  <c r="S128" i="3" s="1"/>
  <c r="AA128" i="3"/>
  <c r="F127" i="3"/>
  <c r="I127" i="3"/>
  <c r="J127" i="3"/>
  <c r="M127" i="3"/>
  <c r="N127" i="3" s="1"/>
  <c r="V127" i="3"/>
  <c r="AE127" i="3"/>
  <c r="T128" i="3" l="1"/>
  <c r="W127" i="3"/>
  <c r="L127" i="3"/>
  <c r="AH128" i="3" l="1"/>
  <c r="U127" i="3"/>
  <c r="E128" i="3" s="1"/>
  <c r="H128" i="3" s="1"/>
  <c r="AG128" i="3"/>
  <c r="Y126" i="3"/>
  <c r="D128" i="3" l="1"/>
  <c r="G128" i="3" s="1"/>
  <c r="K128" i="3"/>
  <c r="A129" i="3" s="1"/>
  <c r="B129" i="3" s="1"/>
  <c r="AA129" i="3" l="1"/>
  <c r="AC129" i="3"/>
  <c r="Z129" i="3"/>
  <c r="AD129" i="3"/>
  <c r="P129" i="3"/>
  <c r="Q129" i="3" s="1"/>
  <c r="R129" i="3" s="1"/>
  <c r="S129" i="3" s="1"/>
  <c r="F128" i="3"/>
  <c r="I128" i="3"/>
  <c r="J128" i="3"/>
  <c r="M128" i="3"/>
  <c r="N128" i="3" s="1"/>
  <c r="V128" i="3"/>
  <c r="AE128" i="3"/>
  <c r="T129" i="3" l="1"/>
  <c r="W128" i="3"/>
  <c r="L128" i="3"/>
  <c r="AH129" i="3" l="1"/>
  <c r="U128" i="3"/>
  <c r="D129" i="3" s="1"/>
  <c r="AG129" i="3"/>
  <c r="Y127" i="3"/>
  <c r="G129" i="3" l="1"/>
  <c r="E129" i="3"/>
  <c r="H129" i="3" s="1"/>
  <c r="F129" i="3" l="1"/>
  <c r="I129" i="3"/>
  <c r="J129" i="3"/>
  <c r="M129" i="3"/>
  <c r="N129" i="3" s="1"/>
  <c r="K129" i="3"/>
  <c r="A130" i="3" s="1"/>
  <c r="B130" i="3" s="1"/>
  <c r="AD130" i="3" l="1"/>
  <c r="P130" i="3"/>
  <c r="Q130" i="3" s="1"/>
  <c r="R130" i="3" s="1"/>
  <c r="S130" i="3" s="1"/>
  <c r="AA130" i="3"/>
  <c r="Z130" i="3"/>
  <c r="AC130" i="3"/>
  <c r="V129" i="3"/>
  <c r="W129" i="3" s="1"/>
  <c r="AE129" i="3"/>
  <c r="L129" i="3"/>
  <c r="T130" i="3" l="1"/>
  <c r="AH130" i="3" s="1"/>
  <c r="U129" i="3"/>
  <c r="Y128" i="3"/>
  <c r="AG130" i="3" l="1"/>
  <c r="E130" i="3"/>
  <c r="H130" i="3" s="1"/>
  <c r="K130" i="3" s="1"/>
  <c r="A131" i="3" s="1"/>
  <c r="B131" i="3" s="1"/>
  <c r="D130" i="3"/>
  <c r="G130" i="3" s="1"/>
  <c r="AC131" i="3" l="1"/>
  <c r="Z131" i="3"/>
  <c r="AA131" i="3"/>
  <c r="P131" i="3"/>
  <c r="Q131" i="3" s="1"/>
  <c r="R131" i="3" s="1"/>
  <c r="S131" i="3" s="1"/>
  <c r="AD131" i="3"/>
  <c r="F130" i="3"/>
  <c r="V130" i="3"/>
  <c r="AE130" i="3"/>
  <c r="I130" i="3"/>
  <c r="J130" i="3"/>
  <c r="M130" i="3"/>
  <c r="N130" i="3" s="1"/>
  <c r="T131" i="3" l="1"/>
  <c r="L130" i="3"/>
  <c r="W130" i="3"/>
  <c r="U130" i="3" l="1"/>
  <c r="E131" i="3" s="1"/>
  <c r="H131" i="3" s="1"/>
  <c r="AH131" i="3"/>
  <c r="AG131" i="3"/>
  <c r="Y129" i="3"/>
  <c r="D131" i="3" l="1"/>
  <c r="F131" i="3" s="1"/>
  <c r="K131" i="3"/>
  <c r="A132" i="3" s="1"/>
  <c r="B132" i="3" s="1"/>
  <c r="AD132" i="3" l="1"/>
  <c r="P132" i="3"/>
  <c r="Q132" i="3" s="1"/>
  <c r="R132" i="3" s="1"/>
  <c r="S132" i="3" s="1"/>
  <c r="Z132" i="3"/>
  <c r="AA132" i="3"/>
  <c r="AC132" i="3"/>
  <c r="G131" i="3"/>
  <c r="M131" i="3" s="1"/>
  <c r="N131" i="3" s="1"/>
  <c r="V131" i="3"/>
  <c r="AE131" i="3"/>
  <c r="T132" i="3" l="1"/>
  <c r="J131" i="3"/>
  <c r="L131" i="3" s="1"/>
  <c r="I131" i="3"/>
  <c r="W131" i="3" s="1"/>
  <c r="U131" i="3" l="1"/>
  <c r="E132" i="3" s="1"/>
  <c r="H132" i="3" s="1"/>
  <c r="AH132" i="3"/>
  <c r="AG132" i="3"/>
  <c r="Y130" i="3"/>
  <c r="K132" i="3" l="1"/>
  <c r="A133" i="3" s="1"/>
  <c r="B133" i="3" s="1"/>
  <c r="D132" i="3"/>
  <c r="P133" i="3" l="1"/>
  <c r="Q133" i="3" s="1"/>
  <c r="R133" i="3" s="1"/>
  <c r="S133" i="3" s="1"/>
  <c r="Z133" i="3"/>
  <c r="AC133" i="3"/>
  <c r="AD133" i="3"/>
  <c r="AA133" i="3"/>
  <c r="V132" i="3"/>
  <c r="AE132" i="3"/>
  <c r="F132" i="3"/>
  <c r="G132" i="3"/>
  <c r="T133" i="3" l="1"/>
  <c r="I132" i="3"/>
  <c r="W132" i="3" s="1"/>
  <c r="J132" i="3"/>
  <c r="M132" i="3"/>
  <c r="N132" i="3" s="1"/>
  <c r="L132" i="3" l="1"/>
  <c r="U132" i="3" l="1"/>
  <c r="D133" i="3" s="1"/>
  <c r="AH133" i="3"/>
  <c r="AG133" i="3"/>
  <c r="Y131" i="3"/>
  <c r="E133" i="3" l="1"/>
  <c r="H133" i="3" s="1"/>
  <c r="K133" i="3" s="1"/>
  <c r="A134" i="3" s="1"/>
  <c r="B134" i="3" s="1"/>
  <c r="G133" i="3"/>
  <c r="P134" i="3" l="1"/>
  <c r="Q134" i="3" s="1"/>
  <c r="R134" i="3" s="1"/>
  <c r="S134" i="3" s="1"/>
  <c r="AC134" i="3"/>
  <c r="AA134" i="3"/>
  <c r="Z134" i="3"/>
  <c r="F133" i="3"/>
  <c r="V133" i="3"/>
  <c r="AE133" i="3"/>
  <c r="I133" i="3"/>
  <c r="J133" i="3"/>
  <c r="M133" i="3"/>
  <c r="N133" i="3" s="1"/>
  <c r="T134" i="3" l="1"/>
  <c r="W133" i="3"/>
  <c r="L133" i="3"/>
  <c r="AG134" i="3" l="1"/>
  <c r="U133" i="3"/>
  <c r="D134" i="3" s="1"/>
  <c r="AH134" i="3"/>
  <c r="Y132" i="3"/>
  <c r="E134" i="3" l="1"/>
  <c r="H134" i="3" s="1"/>
  <c r="K134" i="3" s="1"/>
  <c r="A135" i="3" s="1"/>
  <c r="B135" i="3" s="1"/>
  <c r="G134" i="3"/>
  <c r="P135" i="3" l="1"/>
  <c r="Q135" i="3" s="1"/>
  <c r="R135" i="3" s="1"/>
  <c r="S135" i="3" s="1"/>
  <c r="AA135" i="3"/>
  <c r="AC135" i="3"/>
  <c r="Z135" i="3"/>
  <c r="AD135" i="3"/>
  <c r="F134" i="3"/>
  <c r="I134" i="3"/>
  <c r="J134" i="3"/>
  <c r="AD134" i="3" s="1"/>
  <c r="M134" i="3"/>
  <c r="N134" i="3" s="1"/>
  <c r="V134" i="3"/>
  <c r="AE134" i="3"/>
  <c r="T135" i="3" l="1"/>
  <c r="W134" i="3"/>
  <c r="L134" i="3"/>
  <c r="U134" i="3" l="1"/>
  <c r="E135" i="3" s="1"/>
  <c r="H135" i="3" s="1"/>
  <c r="AH135" i="3"/>
  <c r="AG135" i="3"/>
  <c r="Y133" i="3"/>
  <c r="K135" i="3" l="1"/>
  <c r="A136" i="3" s="1"/>
  <c r="B136" i="3" s="1"/>
  <c r="D135" i="3"/>
  <c r="P136" i="3" l="1"/>
  <c r="Q136" i="3" s="1"/>
  <c r="R136" i="3" s="1"/>
  <c r="S136" i="3" s="1"/>
  <c r="Z136" i="3"/>
  <c r="AD136" i="3"/>
  <c r="AC136" i="3"/>
  <c r="AA136" i="3"/>
  <c r="V135" i="3"/>
  <c r="AE135" i="3"/>
  <c r="F135" i="3"/>
  <c r="G135" i="3"/>
  <c r="T136" i="3" l="1"/>
  <c r="I135" i="3"/>
  <c r="W135" i="3" s="1"/>
  <c r="J135" i="3"/>
  <c r="M135" i="3"/>
  <c r="N135" i="3" s="1"/>
  <c r="L135" i="3" l="1"/>
  <c r="AH136" i="3" l="1"/>
  <c r="U135" i="3"/>
  <c r="D136" i="3" s="1"/>
  <c r="AG136" i="3"/>
  <c r="Y134" i="3"/>
  <c r="E136" i="3" l="1"/>
  <c r="H136" i="3" s="1"/>
  <c r="K136" i="3" s="1"/>
  <c r="A137" i="3" s="1"/>
  <c r="B137" i="3" s="1"/>
  <c r="G136" i="3"/>
  <c r="Z137" i="3" l="1"/>
  <c r="P137" i="3"/>
  <c r="Q137" i="3" s="1"/>
  <c r="R137" i="3" s="1"/>
  <c r="S137" i="3" s="1"/>
  <c r="AD137" i="3"/>
  <c r="AC137" i="3"/>
  <c r="AA137" i="3"/>
  <c r="F136" i="3"/>
  <c r="I136" i="3"/>
  <c r="J136" i="3"/>
  <c r="M136" i="3"/>
  <c r="N136" i="3" s="1"/>
  <c r="V136" i="3"/>
  <c r="AE136" i="3"/>
  <c r="T137" i="3" l="1"/>
  <c r="W136" i="3"/>
  <c r="L136" i="3"/>
  <c r="U136" i="3" l="1"/>
  <c r="D137" i="3" s="1"/>
  <c r="AH137" i="3"/>
  <c r="AG137" i="3"/>
  <c r="Y135" i="3"/>
  <c r="E137" i="3" l="1"/>
  <c r="H137" i="3" s="1"/>
  <c r="K137" i="3" s="1"/>
  <c r="A138" i="3" s="1"/>
  <c r="B138" i="3" s="1"/>
  <c r="G137" i="3"/>
  <c r="AC138" i="3" l="1"/>
  <c r="AA138" i="3"/>
  <c r="AD138" i="3"/>
  <c r="Z138" i="3"/>
  <c r="P138" i="3"/>
  <c r="Q138" i="3" s="1"/>
  <c r="R138" i="3" s="1"/>
  <c r="S138" i="3" s="1"/>
  <c r="F137" i="3"/>
  <c r="I137" i="3"/>
  <c r="J137" i="3"/>
  <c r="M137" i="3"/>
  <c r="N137" i="3" s="1"/>
  <c r="V137" i="3"/>
  <c r="AE137" i="3"/>
  <c r="T138" i="3" l="1"/>
  <c r="W137" i="3"/>
  <c r="L137" i="3"/>
  <c r="AH138" i="3" l="1"/>
  <c r="U137" i="3"/>
  <c r="E138" i="3" s="1"/>
  <c r="H138" i="3" s="1"/>
  <c r="AG138" i="3"/>
  <c r="Y136" i="3"/>
  <c r="D138" i="3" l="1"/>
  <c r="F138" i="3" s="1"/>
  <c r="K138" i="3"/>
  <c r="A139" i="3" s="1"/>
  <c r="B139" i="3" s="1"/>
  <c r="AD139" i="3" l="1"/>
  <c r="AC139" i="3"/>
  <c r="Z139" i="3"/>
  <c r="AA139" i="3"/>
  <c r="P139" i="3"/>
  <c r="Q139" i="3" s="1"/>
  <c r="R139" i="3" s="1"/>
  <c r="S139" i="3" s="1"/>
  <c r="G138" i="3"/>
  <c r="M138" i="3" s="1"/>
  <c r="N138" i="3" s="1"/>
  <c r="V138" i="3"/>
  <c r="AE138" i="3"/>
  <c r="T139" i="3" l="1"/>
  <c r="I138" i="3"/>
  <c r="W138" i="3" s="1"/>
  <c r="J138" i="3"/>
  <c r="L138" i="3" s="1"/>
  <c r="U138" i="3" l="1"/>
  <c r="E139" i="3" s="1"/>
  <c r="H139" i="3" s="1"/>
  <c r="AG139" i="3"/>
  <c r="AH139" i="3"/>
  <c r="Y137" i="3"/>
  <c r="D139" i="3" l="1"/>
  <c r="G139" i="3" s="1"/>
  <c r="K139" i="3"/>
  <c r="A140" i="3" s="1"/>
  <c r="B140" i="3" s="1"/>
  <c r="AD140" i="3" l="1"/>
  <c r="AA140" i="3"/>
  <c r="AC140" i="3"/>
  <c r="Z140" i="3"/>
  <c r="P140" i="3"/>
  <c r="Q140" i="3" s="1"/>
  <c r="R140" i="3" s="1"/>
  <c r="S140" i="3" s="1"/>
  <c r="F139" i="3"/>
  <c r="V139" i="3"/>
  <c r="AE139" i="3"/>
  <c r="I139" i="3"/>
  <c r="J139" i="3"/>
  <c r="M139" i="3"/>
  <c r="N139" i="3" s="1"/>
  <c r="T140" i="3" l="1"/>
  <c r="W139" i="3"/>
  <c r="L139" i="3"/>
  <c r="AG140" i="3" l="1"/>
  <c r="U139" i="3"/>
  <c r="E140" i="3" s="1"/>
  <c r="H140" i="3" s="1"/>
  <c r="AH140" i="3"/>
  <c r="Y138" i="3"/>
  <c r="D140" i="3" l="1"/>
  <c r="G140" i="3" s="1"/>
  <c r="K140" i="3"/>
  <c r="A141" i="3" s="1"/>
  <c r="B141" i="3" s="1"/>
  <c r="P141" i="3" l="1"/>
  <c r="Q141" i="3" s="1"/>
  <c r="R141" i="3" s="1"/>
  <c r="S141" i="3" s="1"/>
  <c r="AC141" i="3"/>
  <c r="Z141" i="3"/>
  <c r="AA141" i="3"/>
  <c r="AD141" i="3"/>
  <c r="F140" i="3"/>
  <c r="V140" i="3"/>
  <c r="AE140" i="3"/>
  <c r="I140" i="3"/>
  <c r="J140" i="3"/>
  <c r="M140" i="3"/>
  <c r="N140" i="3" s="1"/>
  <c r="T141" i="3" l="1"/>
  <c r="W140" i="3"/>
  <c r="L140" i="3"/>
  <c r="AG141" i="3" l="1"/>
  <c r="U140" i="3"/>
  <c r="D141" i="3" s="1"/>
  <c r="AH141" i="3"/>
  <c r="Y139" i="3"/>
  <c r="E141" i="3" l="1"/>
  <c r="H141" i="3" s="1"/>
  <c r="K141" i="3" s="1"/>
  <c r="A142" i="3" s="1"/>
  <c r="B142" i="3" s="1"/>
  <c r="G141" i="3"/>
  <c r="AA142" i="3" l="1"/>
  <c r="AC142" i="3"/>
  <c r="Z142" i="3"/>
  <c r="AD142" i="3"/>
  <c r="P142" i="3"/>
  <c r="Q142" i="3" s="1"/>
  <c r="R142" i="3" s="1"/>
  <c r="S142" i="3" s="1"/>
  <c r="F141" i="3"/>
  <c r="I141" i="3"/>
  <c r="J141" i="3"/>
  <c r="M141" i="3"/>
  <c r="N141" i="3" s="1"/>
  <c r="V141" i="3"/>
  <c r="AE141" i="3"/>
  <c r="T142" i="3" l="1"/>
  <c r="W141" i="3"/>
  <c r="L141" i="3"/>
  <c r="U141" i="3" l="1"/>
  <c r="D142" i="3" s="1"/>
  <c r="AH142" i="3"/>
  <c r="AG142" i="3"/>
  <c r="Y140" i="3"/>
  <c r="E142" i="3" l="1"/>
  <c r="H142" i="3" s="1"/>
  <c r="K142" i="3" s="1"/>
  <c r="A143" i="3" s="1"/>
  <c r="B143" i="3" s="1"/>
  <c r="G142" i="3"/>
  <c r="P143" i="3" l="1"/>
  <c r="Q143" i="3" s="1"/>
  <c r="R143" i="3" s="1"/>
  <c r="S143" i="3" s="1"/>
  <c r="AC143" i="3"/>
  <c r="AA143" i="3"/>
  <c r="Z143" i="3"/>
  <c r="AD143" i="3"/>
  <c r="F142" i="3"/>
  <c r="V142" i="3"/>
  <c r="AE142" i="3"/>
  <c r="I142" i="3"/>
  <c r="J142" i="3"/>
  <c r="M142" i="3"/>
  <c r="N142" i="3" s="1"/>
  <c r="T143" i="3" l="1"/>
  <c r="W142" i="3"/>
  <c r="L142" i="3"/>
  <c r="U142" i="3" l="1"/>
  <c r="E143" i="3" s="1"/>
  <c r="H143" i="3" s="1"/>
  <c r="AG143" i="3"/>
  <c r="AH143" i="3"/>
  <c r="Y141" i="3"/>
  <c r="D143" i="3" l="1"/>
  <c r="F143" i="3" s="1"/>
  <c r="K143" i="3"/>
  <c r="A144" i="3" s="1"/>
  <c r="B144" i="3" s="1"/>
  <c r="Z144" i="3" l="1"/>
  <c r="AA144" i="3"/>
  <c r="P144" i="3"/>
  <c r="Q144" i="3" s="1"/>
  <c r="R144" i="3" s="1"/>
  <c r="S144" i="3" s="1"/>
  <c r="AC144" i="3"/>
  <c r="G143" i="3"/>
  <c r="M143" i="3" s="1"/>
  <c r="N143" i="3" s="1"/>
  <c r="V143" i="3"/>
  <c r="AE143" i="3"/>
  <c r="T144" i="3" l="1"/>
  <c r="J143" i="3"/>
  <c r="L143" i="3" s="1"/>
  <c r="I143" i="3"/>
  <c r="W143" i="3" s="1"/>
  <c r="U143" i="3" l="1"/>
  <c r="D144" i="3" s="1"/>
  <c r="AG144" i="3"/>
  <c r="AH144" i="3"/>
  <c r="Y142" i="3"/>
  <c r="E144" i="3" l="1"/>
  <c r="H144" i="3" s="1"/>
  <c r="K144" i="3" s="1"/>
  <c r="A145" i="3" s="1"/>
  <c r="B145" i="3" s="1"/>
  <c r="G144" i="3"/>
  <c r="P145" i="3" l="1"/>
  <c r="Q145" i="3" s="1"/>
  <c r="R145" i="3" s="1"/>
  <c r="S145" i="3" s="1"/>
  <c r="Z145" i="3"/>
  <c r="AA145" i="3"/>
  <c r="AC145" i="3"/>
  <c r="AD145" i="3"/>
  <c r="F144" i="3"/>
  <c r="V144" i="3"/>
  <c r="AE144" i="3"/>
  <c r="I144" i="3"/>
  <c r="J144" i="3"/>
  <c r="AD144" i="3" s="1"/>
  <c r="M144" i="3"/>
  <c r="N144" i="3" s="1"/>
  <c r="T145" i="3" l="1"/>
  <c r="W144" i="3"/>
  <c r="L144" i="3"/>
  <c r="AH145" i="3" l="1"/>
  <c r="AG145" i="3"/>
  <c r="U144" i="3"/>
  <c r="D145" i="3" s="1"/>
  <c r="Y143" i="3"/>
  <c r="E145" i="3" l="1"/>
  <c r="H145" i="3" s="1"/>
  <c r="K145" i="3" s="1"/>
  <c r="A146" i="3" s="1"/>
  <c r="B146" i="3" s="1"/>
  <c r="G145" i="3"/>
  <c r="AA146" i="3" l="1"/>
  <c r="AD146" i="3"/>
  <c r="AC146" i="3"/>
  <c r="Z146" i="3"/>
  <c r="P146" i="3"/>
  <c r="Q146" i="3" s="1"/>
  <c r="R146" i="3" s="1"/>
  <c r="S146" i="3" s="1"/>
  <c r="F145" i="3"/>
  <c r="I145" i="3"/>
  <c r="J145" i="3"/>
  <c r="M145" i="3"/>
  <c r="N145" i="3" s="1"/>
  <c r="V145" i="3"/>
  <c r="AE145" i="3"/>
  <c r="T146" i="3" l="1"/>
  <c r="W145" i="3"/>
  <c r="L145" i="3"/>
  <c r="U145" i="3" l="1"/>
  <c r="D146" i="3" s="1"/>
  <c r="AH146" i="3"/>
  <c r="AG146" i="3"/>
  <c r="Y144" i="3"/>
  <c r="E146" i="3" l="1"/>
  <c r="H146" i="3" s="1"/>
  <c r="K146" i="3" s="1"/>
  <c r="A147" i="3" s="1"/>
  <c r="B147" i="3" s="1"/>
  <c r="G146" i="3"/>
  <c r="Z147" i="3" l="1"/>
  <c r="AC147" i="3"/>
  <c r="AA147" i="3"/>
  <c r="P147" i="3"/>
  <c r="Q147" i="3" s="1"/>
  <c r="R147" i="3" s="1"/>
  <c r="S147" i="3" s="1"/>
  <c r="AD147" i="3"/>
  <c r="F146" i="3"/>
  <c r="I146" i="3"/>
  <c r="J146" i="3"/>
  <c r="M146" i="3"/>
  <c r="N146" i="3" s="1"/>
  <c r="V146" i="3"/>
  <c r="AE146" i="3"/>
  <c r="T147" i="3" l="1"/>
  <c r="W146" i="3"/>
  <c r="L146" i="3"/>
  <c r="U146" i="3" l="1"/>
  <c r="D147" i="3" s="1"/>
  <c r="AG147" i="3"/>
  <c r="AH147" i="3"/>
  <c r="Y145" i="3"/>
  <c r="E147" i="3" l="1"/>
  <c r="H147" i="3" s="1"/>
  <c r="K147" i="3" s="1"/>
  <c r="A148" i="3" s="1"/>
  <c r="B148" i="3" s="1"/>
  <c r="G147" i="3"/>
  <c r="P148" i="3" l="1"/>
  <c r="Q148" i="3" s="1"/>
  <c r="R148" i="3" s="1"/>
  <c r="S148" i="3" s="1"/>
  <c r="Z148" i="3"/>
  <c r="AD148" i="3"/>
  <c r="AC148" i="3"/>
  <c r="AA148" i="3"/>
  <c r="F147" i="3"/>
  <c r="V147" i="3"/>
  <c r="AE147" i="3"/>
  <c r="I147" i="3"/>
  <c r="J147" i="3"/>
  <c r="M147" i="3"/>
  <c r="N147" i="3" s="1"/>
  <c r="T148" i="3" l="1"/>
  <c r="W147" i="3"/>
  <c r="L147" i="3"/>
  <c r="AG148" i="3" l="1"/>
  <c r="U147" i="3"/>
  <c r="E148" i="3" s="1"/>
  <c r="H148" i="3" s="1"/>
  <c r="AH148" i="3"/>
  <c r="Y146" i="3"/>
  <c r="K148" i="3" l="1"/>
  <c r="A149" i="3" s="1"/>
  <c r="B149" i="3" s="1"/>
  <c r="D148" i="3"/>
  <c r="P149" i="3" l="1"/>
  <c r="Q149" i="3" s="1"/>
  <c r="R149" i="3" s="1"/>
  <c r="S149" i="3" s="1"/>
  <c r="AD149" i="3"/>
  <c r="AC149" i="3"/>
  <c r="AA149" i="3"/>
  <c r="Z149" i="3"/>
  <c r="V148" i="3"/>
  <c r="AE148" i="3"/>
  <c r="F148" i="3"/>
  <c r="G148" i="3"/>
  <c r="T149" i="3" l="1"/>
  <c r="I148" i="3"/>
  <c r="W148" i="3" s="1"/>
  <c r="J148" i="3"/>
  <c r="M148" i="3"/>
  <c r="N148" i="3" s="1"/>
  <c r="L148" i="3" l="1"/>
  <c r="AG149" i="3" l="1"/>
  <c r="U148" i="3"/>
  <c r="D149" i="3" s="1"/>
  <c r="AH149" i="3"/>
  <c r="Y147" i="3"/>
  <c r="E149" i="3" l="1"/>
  <c r="H149" i="3" s="1"/>
  <c r="K149" i="3" s="1"/>
  <c r="A150" i="3" s="1"/>
  <c r="B150" i="3" s="1"/>
  <c r="G149" i="3"/>
  <c r="P150" i="3" l="1"/>
  <c r="Q150" i="3" s="1"/>
  <c r="R150" i="3" s="1"/>
  <c r="S150" i="3" s="1"/>
  <c r="Z150" i="3"/>
  <c r="AD150" i="3"/>
  <c r="AA150" i="3"/>
  <c r="AC150" i="3"/>
  <c r="F149" i="3"/>
  <c r="I149" i="3"/>
  <c r="J149" i="3"/>
  <c r="M149" i="3"/>
  <c r="N149" i="3" s="1"/>
  <c r="V149" i="3"/>
  <c r="AE149" i="3"/>
  <c r="T150" i="3" l="1"/>
  <c r="W149" i="3"/>
  <c r="L149" i="3"/>
  <c r="AH150" i="3" l="1"/>
  <c r="U149" i="3"/>
  <c r="D150" i="3" s="1"/>
  <c r="AG150" i="3"/>
  <c r="Y148" i="3"/>
  <c r="E150" i="3" l="1"/>
  <c r="H150" i="3" s="1"/>
  <c r="K150" i="3" s="1"/>
  <c r="A151" i="3" s="1"/>
  <c r="B151" i="3" s="1"/>
  <c r="G150" i="3"/>
  <c r="P151" i="3" l="1"/>
  <c r="Q151" i="3" s="1"/>
  <c r="R151" i="3" s="1"/>
  <c r="S151" i="3" s="1"/>
  <c r="AC151" i="3"/>
  <c r="AD151" i="3"/>
  <c r="Z151" i="3"/>
  <c r="AA151" i="3"/>
  <c r="F150" i="3"/>
  <c r="I150" i="3"/>
  <c r="J150" i="3"/>
  <c r="M150" i="3"/>
  <c r="N150" i="3" s="1"/>
  <c r="V150" i="3"/>
  <c r="AE150" i="3"/>
  <c r="T151" i="3" l="1"/>
  <c r="W150" i="3"/>
  <c r="L150" i="3"/>
  <c r="AH151" i="3" l="1"/>
  <c r="U150" i="3"/>
  <c r="E151" i="3" s="1"/>
  <c r="H151" i="3" s="1"/>
  <c r="AG151" i="3"/>
  <c r="Y149" i="3"/>
  <c r="D151" i="3" l="1"/>
  <c r="G151" i="3" s="1"/>
  <c r="K151" i="3"/>
  <c r="A152" i="3" s="1"/>
  <c r="B152" i="3" s="1"/>
  <c r="AC152" i="3" l="1"/>
  <c r="AA152" i="3"/>
  <c r="P152" i="3"/>
  <c r="Q152" i="3" s="1"/>
  <c r="R152" i="3" s="1"/>
  <c r="S152" i="3" s="1"/>
  <c r="Z152" i="3"/>
  <c r="AD152" i="3"/>
  <c r="F151" i="3"/>
  <c r="I151" i="3"/>
  <c r="J151" i="3"/>
  <c r="M151" i="3"/>
  <c r="N151" i="3" s="1"/>
  <c r="V151" i="3"/>
  <c r="AE151" i="3"/>
  <c r="T152" i="3" l="1"/>
  <c r="W151" i="3"/>
  <c r="L151" i="3"/>
  <c r="AH152" i="3" l="1"/>
  <c r="AG152" i="3"/>
  <c r="U151" i="3"/>
  <c r="E152" i="3" s="1"/>
  <c r="H152" i="3" s="1"/>
  <c r="Y150" i="3"/>
  <c r="D152" i="3" l="1"/>
  <c r="G152" i="3" s="1"/>
  <c r="K152" i="3"/>
  <c r="A153" i="3" s="1"/>
  <c r="B153" i="3" s="1"/>
  <c r="AD153" i="3" l="1"/>
  <c r="P153" i="3"/>
  <c r="Q153" i="3" s="1"/>
  <c r="R153" i="3" s="1"/>
  <c r="S153" i="3" s="1"/>
  <c r="AA153" i="3"/>
  <c r="AC153" i="3"/>
  <c r="Z153" i="3"/>
  <c r="F152" i="3"/>
  <c r="V152" i="3"/>
  <c r="AE152" i="3"/>
  <c r="I152" i="3"/>
  <c r="J152" i="3"/>
  <c r="M152" i="3"/>
  <c r="N152" i="3" s="1"/>
  <c r="T153" i="3" l="1"/>
  <c r="W152" i="3"/>
  <c r="L152" i="3"/>
  <c r="AH153" i="3" l="1"/>
  <c r="U152" i="3"/>
  <c r="D153" i="3" s="1"/>
  <c r="AG153" i="3"/>
  <c r="Y151" i="3"/>
  <c r="G153" i="3" l="1"/>
  <c r="E153" i="3"/>
  <c r="H153" i="3" s="1"/>
  <c r="K153" i="3" l="1"/>
  <c r="A154" i="3" s="1"/>
  <c r="B154" i="3" s="1"/>
  <c r="I153" i="3"/>
  <c r="J153" i="3"/>
  <c r="M153" i="3"/>
  <c r="N153" i="3" s="1"/>
  <c r="F153" i="3"/>
  <c r="P154" i="3" l="1"/>
  <c r="Q154" i="3" s="1"/>
  <c r="R154" i="3" s="1"/>
  <c r="S154" i="3" s="1"/>
  <c r="Z154" i="3"/>
  <c r="AC154" i="3"/>
  <c r="AA154" i="3"/>
  <c r="V153" i="3"/>
  <c r="W153" i="3" s="1"/>
  <c r="AE153" i="3"/>
  <c r="L153" i="3"/>
  <c r="T154" i="3" l="1"/>
  <c r="AG154" i="3" s="1"/>
  <c r="U153" i="3"/>
  <c r="Y152" i="3"/>
  <c r="AH154" i="3" l="1"/>
  <c r="D154" i="3"/>
  <c r="G154" i="3" s="1"/>
  <c r="E154" i="3"/>
  <c r="H154" i="3" s="1"/>
  <c r="K154" i="3" s="1"/>
  <c r="A155" i="3" s="1"/>
  <c r="B155" i="3" s="1"/>
  <c r="AC155" i="3" l="1"/>
  <c r="P155" i="3"/>
  <c r="Q155" i="3" s="1"/>
  <c r="R155" i="3" s="1"/>
  <c r="S155" i="3" s="1"/>
  <c r="AA155" i="3"/>
  <c r="Z155" i="3"/>
  <c r="F154" i="3"/>
  <c r="I154" i="3"/>
  <c r="J154" i="3"/>
  <c r="AD154" i="3" s="1"/>
  <c r="M154" i="3"/>
  <c r="N154" i="3" s="1"/>
  <c r="V154" i="3"/>
  <c r="AE154" i="3"/>
  <c r="T155" i="3" l="1"/>
  <c r="L154" i="3"/>
  <c r="W154" i="3"/>
  <c r="U154" i="3" l="1"/>
  <c r="E155" i="3" s="1"/>
  <c r="H155" i="3" s="1"/>
  <c r="AH155" i="3"/>
  <c r="AG155" i="3"/>
  <c r="Y153" i="3"/>
  <c r="D155" i="3" l="1"/>
  <c r="G155" i="3" s="1"/>
  <c r="K155" i="3"/>
  <c r="A156" i="3" s="1"/>
  <c r="B156" i="3" s="1"/>
  <c r="AA156" i="3" l="1"/>
  <c r="Z156" i="3"/>
  <c r="AC156" i="3"/>
  <c r="P156" i="3"/>
  <c r="Q156" i="3" s="1"/>
  <c r="R156" i="3" s="1"/>
  <c r="S156" i="3" s="1"/>
  <c r="F155" i="3"/>
  <c r="V155" i="3"/>
  <c r="AE155" i="3"/>
  <c r="I155" i="3"/>
  <c r="J155" i="3"/>
  <c r="AD155" i="3" s="1"/>
  <c r="M155" i="3"/>
  <c r="N155" i="3" s="1"/>
  <c r="T156" i="3" l="1"/>
  <c r="W155" i="3"/>
  <c r="L155" i="3"/>
  <c r="AG156" i="3" l="1"/>
  <c r="U155" i="3"/>
  <c r="D156" i="3" s="1"/>
  <c r="AH156" i="3"/>
  <c r="Y154" i="3"/>
  <c r="E156" i="3" l="1"/>
  <c r="H156" i="3" s="1"/>
  <c r="K156" i="3" s="1"/>
  <c r="A157" i="3" s="1"/>
  <c r="B157" i="3" s="1"/>
  <c r="G156" i="3"/>
  <c r="P157" i="3" l="1"/>
  <c r="Q157" i="3" s="1"/>
  <c r="R157" i="3" s="1"/>
  <c r="S157" i="3" s="1"/>
  <c r="Z157" i="3"/>
  <c r="AA157" i="3"/>
  <c r="AC157" i="3"/>
  <c r="F156" i="3"/>
  <c r="V156" i="3"/>
  <c r="AE156" i="3"/>
  <c r="I156" i="3"/>
  <c r="J156" i="3"/>
  <c r="AD156" i="3" s="1"/>
  <c r="M156" i="3"/>
  <c r="N156" i="3" s="1"/>
  <c r="T157" i="3" l="1"/>
  <c r="W156" i="3"/>
  <c r="L156" i="3"/>
  <c r="U156" i="3" l="1"/>
  <c r="E157" i="3" s="1"/>
  <c r="H157" i="3" s="1"/>
  <c r="AH157" i="3"/>
  <c r="AG157" i="3"/>
  <c r="Y155" i="3"/>
  <c r="D157" i="3" l="1"/>
  <c r="G157" i="3" s="1"/>
  <c r="K157" i="3"/>
  <c r="A158" i="3" s="1"/>
  <c r="B158" i="3" s="1"/>
  <c r="AA158" i="3" l="1"/>
  <c r="AC158" i="3"/>
  <c r="Z158" i="3"/>
  <c r="P158" i="3"/>
  <c r="Q158" i="3" s="1"/>
  <c r="R158" i="3" s="1"/>
  <c r="S158" i="3" s="1"/>
  <c r="F157" i="3"/>
  <c r="I157" i="3"/>
  <c r="J157" i="3"/>
  <c r="AD157" i="3" s="1"/>
  <c r="M157" i="3"/>
  <c r="N157" i="3" s="1"/>
  <c r="V157" i="3"/>
  <c r="AE157" i="3"/>
  <c r="T158" i="3" l="1"/>
  <c r="W157" i="3"/>
  <c r="L157" i="3"/>
  <c r="U157" i="3" l="1"/>
  <c r="E158" i="3" s="1"/>
  <c r="H158" i="3" s="1"/>
  <c r="AH158" i="3"/>
  <c r="AG158" i="3"/>
  <c r="Y156" i="3"/>
  <c r="D158" i="3" l="1"/>
  <c r="F158" i="3" s="1"/>
  <c r="K158" i="3"/>
  <c r="A159" i="3" s="1"/>
  <c r="B159" i="3" s="1"/>
  <c r="AC159" i="3" l="1"/>
  <c r="Z159" i="3"/>
  <c r="AA159" i="3"/>
  <c r="P159" i="3"/>
  <c r="Q159" i="3" s="1"/>
  <c r="R159" i="3" s="1"/>
  <c r="S159" i="3" s="1"/>
  <c r="G158" i="3"/>
  <c r="I158" i="3" s="1"/>
  <c r="V158" i="3"/>
  <c r="AE158" i="3"/>
  <c r="T159" i="3" l="1"/>
  <c r="M158" i="3"/>
  <c r="N158" i="3" s="1"/>
  <c r="J158" i="3"/>
  <c r="W158" i="3"/>
  <c r="L158" i="3" l="1"/>
  <c r="U158" i="3" s="1"/>
  <c r="E159" i="3" s="1"/>
  <c r="H159" i="3" s="1"/>
  <c r="AD158" i="3"/>
  <c r="Y157" i="3" l="1"/>
  <c r="AH159" i="3"/>
  <c r="AG159" i="3"/>
  <c r="D159" i="3"/>
  <c r="F159" i="3" s="1"/>
  <c r="K159" i="3"/>
  <c r="A160" i="3" s="1"/>
  <c r="B160" i="3" s="1"/>
  <c r="AA160" i="3" l="1"/>
  <c r="P160" i="3"/>
  <c r="Q160" i="3" s="1"/>
  <c r="R160" i="3" s="1"/>
  <c r="S160" i="3" s="1"/>
  <c r="Z160" i="3"/>
  <c r="AC160" i="3"/>
  <c r="G159" i="3"/>
  <c r="M159" i="3" s="1"/>
  <c r="N159" i="3" s="1"/>
  <c r="V159" i="3"/>
  <c r="AE159" i="3"/>
  <c r="T160" i="3" l="1"/>
  <c r="I159" i="3"/>
  <c r="W159" i="3" s="1"/>
  <c r="J159" i="3"/>
  <c r="L159" i="3" l="1"/>
  <c r="AH160" i="3" s="1"/>
  <c r="AD159" i="3"/>
  <c r="Y158" i="3" l="1"/>
  <c r="AG160" i="3"/>
  <c r="U159" i="3"/>
  <c r="E160" i="3" s="1"/>
  <c r="H160" i="3" s="1"/>
  <c r="K160" i="3" s="1"/>
  <c r="A161" i="3" s="1"/>
  <c r="B161" i="3" s="1"/>
  <c r="D160" i="3" l="1"/>
  <c r="G160" i="3" s="1"/>
  <c r="I160" i="3" s="1"/>
  <c r="Z161" i="3"/>
  <c r="AA161" i="3"/>
  <c r="P161" i="3"/>
  <c r="Q161" i="3" s="1"/>
  <c r="R161" i="3" s="1"/>
  <c r="S161" i="3" s="1"/>
  <c r="AC161" i="3"/>
  <c r="V160" i="3"/>
  <c r="AE160" i="3"/>
  <c r="M160" i="3" l="1"/>
  <c r="N160" i="3" s="1"/>
  <c r="F160" i="3"/>
  <c r="J160" i="3"/>
  <c r="AD160" i="3" s="1"/>
  <c r="T161" i="3"/>
  <c r="W160" i="3"/>
  <c r="L160" i="3" l="1"/>
  <c r="AG161" i="3" s="1"/>
  <c r="Y159" i="3" l="1"/>
  <c r="U160" i="3"/>
  <c r="E161" i="3" s="1"/>
  <c r="H161" i="3" s="1"/>
  <c r="K161" i="3" s="1"/>
  <c r="A162" i="3" s="1"/>
  <c r="B162" i="3" s="1"/>
  <c r="AH161" i="3"/>
  <c r="D161" i="3" l="1"/>
  <c r="G161" i="3" s="1"/>
  <c r="I161" i="3" s="1"/>
  <c r="Z162" i="3"/>
  <c r="P162" i="3"/>
  <c r="Q162" i="3" s="1"/>
  <c r="R162" i="3" s="1"/>
  <c r="S162" i="3" s="1"/>
  <c r="AC162" i="3"/>
  <c r="AA162" i="3"/>
  <c r="V161" i="3"/>
  <c r="AE161" i="3"/>
  <c r="M161" i="3" l="1"/>
  <c r="N161" i="3" s="1"/>
  <c r="J161" i="3"/>
  <c r="AD161" i="3" s="1"/>
  <c r="F161" i="3"/>
  <c r="T162" i="3"/>
  <c r="W161" i="3"/>
  <c r="L161" i="3" l="1"/>
  <c r="U161" i="3" s="1"/>
  <c r="D162" i="3" s="1"/>
  <c r="Y160" i="3" l="1"/>
  <c r="AH162" i="3"/>
  <c r="AG162" i="3"/>
  <c r="G162" i="3"/>
  <c r="E162" i="3"/>
  <c r="H162" i="3" s="1"/>
  <c r="F162" i="3" l="1"/>
  <c r="I162" i="3"/>
  <c r="J162" i="3"/>
  <c r="AD162" i="3" s="1"/>
  <c r="M162" i="3"/>
  <c r="N162" i="3" s="1"/>
  <c r="K162" i="3"/>
  <c r="A163" i="3" s="1"/>
  <c r="B163" i="3" s="1"/>
  <c r="AC163" i="3" l="1"/>
  <c r="Z163" i="3"/>
  <c r="P163" i="3"/>
  <c r="Q163" i="3" s="1"/>
  <c r="R163" i="3" s="1"/>
  <c r="S163" i="3" s="1"/>
  <c r="AA163" i="3"/>
  <c r="V162" i="3"/>
  <c r="W162" i="3" s="1"/>
  <c r="AE162" i="3"/>
  <c r="L162" i="3"/>
  <c r="T163" i="3" l="1"/>
  <c r="AH163" i="3" s="1"/>
  <c r="U162" i="3"/>
  <c r="Y161" i="3"/>
  <c r="AG163" i="3" l="1"/>
  <c r="D163" i="3"/>
  <c r="G163" i="3" s="1"/>
  <c r="E163" i="3"/>
  <c r="H163" i="3" s="1"/>
  <c r="K163" i="3" s="1"/>
  <c r="A164" i="3" s="1"/>
  <c r="B164" i="3" s="1"/>
  <c r="AA164" i="3" l="1"/>
  <c r="Z164" i="3"/>
  <c r="AC164" i="3"/>
  <c r="P164" i="3"/>
  <c r="Q164" i="3" s="1"/>
  <c r="R164" i="3" s="1"/>
  <c r="S164" i="3" s="1"/>
  <c r="F163" i="3"/>
  <c r="V163" i="3"/>
  <c r="AE163" i="3"/>
  <c r="I163" i="3"/>
  <c r="J163" i="3"/>
  <c r="AD163" i="3" s="1"/>
  <c r="M163" i="3"/>
  <c r="N163" i="3" s="1"/>
  <c r="T164" i="3" l="1"/>
  <c r="W163" i="3"/>
  <c r="L163" i="3"/>
  <c r="AH164" i="3" l="1"/>
  <c r="U163" i="3"/>
  <c r="D164" i="3" s="1"/>
  <c r="AG164" i="3"/>
  <c r="Y162" i="3"/>
  <c r="E164" i="3" l="1"/>
  <c r="H164" i="3" s="1"/>
  <c r="K164" i="3" s="1"/>
  <c r="A165" i="3" s="1"/>
  <c r="B165" i="3" s="1"/>
  <c r="G164" i="3"/>
  <c r="AA165" i="3" l="1"/>
  <c r="AC165" i="3"/>
  <c r="Z165" i="3"/>
  <c r="P165" i="3"/>
  <c r="Q165" i="3" s="1"/>
  <c r="R165" i="3" s="1"/>
  <c r="S165" i="3" s="1"/>
  <c r="AD165" i="3"/>
  <c r="F164" i="3"/>
  <c r="I164" i="3"/>
  <c r="J164" i="3"/>
  <c r="AD164" i="3" s="1"/>
  <c r="M164" i="3"/>
  <c r="N164" i="3" s="1"/>
  <c r="V164" i="3"/>
  <c r="AE164" i="3"/>
  <c r="T165" i="3" l="1"/>
  <c r="W164" i="3"/>
  <c r="L164" i="3"/>
  <c r="U164" i="3" l="1"/>
  <c r="D165" i="3" s="1"/>
  <c r="AG165" i="3"/>
  <c r="AH165" i="3"/>
  <c r="Y163" i="3"/>
  <c r="E165" i="3" l="1"/>
  <c r="H165" i="3" s="1"/>
  <c r="K165" i="3" s="1"/>
  <c r="A166" i="3" s="1"/>
  <c r="B166" i="3" s="1"/>
  <c r="G165" i="3"/>
  <c r="AA166" i="3" l="1"/>
  <c r="P166" i="3"/>
  <c r="Q166" i="3" s="1"/>
  <c r="R166" i="3" s="1"/>
  <c r="S166" i="3" s="1"/>
  <c r="AD166" i="3"/>
  <c r="Z166" i="3"/>
  <c r="AC166" i="3"/>
  <c r="F165" i="3"/>
  <c r="V165" i="3"/>
  <c r="AE165" i="3"/>
  <c r="I165" i="3"/>
  <c r="J165" i="3"/>
  <c r="M165" i="3"/>
  <c r="N165" i="3" s="1"/>
  <c r="T166" i="3" l="1"/>
  <c r="L165" i="3"/>
  <c r="W165" i="3"/>
  <c r="AH166" i="3" l="1"/>
  <c r="U165" i="3"/>
  <c r="E166" i="3" s="1"/>
  <c r="H166" i="3" s="1"/>
  <c r="AG166" i="3"/>
  <c r="Y164" i="3"/>
  <c r="D166" i="3" l="1"/>
  <c r="G166" i="3" s="1"/>
  <c r="K166" i="3"/>
  <c r="A167" i="3" s="1"/>
  <c r="B167" i="3" s="1"/>
  <c r="P167" i="3" l="1"/>
  <c r="Q167" i="3" s="1"/>
  <c r="R167" i="3" s="1"/>
  <c r="S167" i="3" s="1"/>
  <c r="AA167" i="3"/>
  <c r="Z167" i="3"/>
  <c r="AD167" i="3"/>
  <c r="AC167" i="3"/>
  <c r="F166" i="3"/>
  <c r="I166" i="3"/>
  <c r="J166" i="3"/>
  <c r="M166" i="3"/>
  <c r="N166" i="3" s="1"/>
  <c r="V166" i="3"/>
  <c r="AE166" i="3"/>
  <c r="T167" i="3" l="1"/>
  <c r="W166" i="3"/>
  <c r="L166" i="3"/>
  <c r="AH167" i="3" l="1"/>
  <c r="AG167" i="3"/>
  <c r="U166" i="3"/>
  <c r="E167" i="3" s="1"/>
  <c r="H167" i="3" s="1"/>
  <c r="Y165" i="3"/>
  <c r="K167" i="3" l="1"/>
  <c r="A168" i="3" s="1"/>
  <c r="B168" i="3" s="1"/>
  <c r="D167" i="3"/>
  <c r="Z168" i="3" l="1"/>
  <c r="AD168" i="3"/>
  <c r="AC168" i="3"/>
  <c r="AA168" i="3"/>
  <c r="P168" i="3"/>
  <c r="Q168" i="3" s="1"/>
  <c r="R168" i="3" s="1"/>
  <c r="S168" i="3" s="1"/>
  <c r="V167" i="3"/>
  <c r="AE167" i="3"/>
  <c r="F167" i="3"/>
  <c r="G167" i="3"/>
  <c r="T168" i="3" l="1"/>
  <c r="I167" i="3"/>
  <c r="W167" i="3" s="1"/>
  <c r="J167" i="3"/>
  <c r="M167" i="3"/>
  <c r="N167" i="3" s="1"/>
  <c r="L167" i="3" l="1"/>
  <c r="AH168" i="3" l="1"/>
  <c r="U167" i="3"/>
  <c r="E168" i="3" s="1"/>
  <c r="H168" i="3" s="1"/>
  <c r="AG168" i="3"/>
  <c r="Y166" i="3"/>
  <c r="D168" i="3" l="1"/>
  <c r="F168" i="3" s="1"/>
  <c r="K168" i="3"/>
  <c r="A169" i="3" s="1"/>
  <c r="B169" i="3" s="1"/>
  <c r="AD169" i="3" l="1"/>
  <c r="Z169" i="3"/>
  <c r="AA169" i="3"/>
  <c r="AC169" i="3"/>
  <c r="P169" i="3"/>
  <c r="Q169" i="3" s="1"/>
  <c r="R169" i="3" s="1"/>
  <c r="S169" i="3" s="1"/>
  <c r="G168" i="3"/>
  <c r="I168" i="3" s="1"/>
  <c r="V168" i="3"/>
  <c r="AE168" i="3"/>
  <c r="T169" i="3" l="1"/>
  <c r="M168" i="3"/>
  <c r="N168" i="3" s="1"/>
  <c r="J168" i="3"/>
  <c r="L168" i="3" s="1"/>
  <c r="W168" i="3"/>
  <c r="U168" i="3" l="1"/>
  <c r="E169" i="3" s="1"/>
  <c r="H169" i="3" s="1"/>
  <c r="AH169" i="3"/>
  <c r="AG169" i="3"/>
  <c r="Y167" i="3"/>
  <c r="D169" i="3" l="1"/>
  <c r="F169" i="3" s="1"/>
  <c r="K169" i="3"/>
  <c r="A170" i="3" s="1"/>
  <c r="B170" i="3" s="1"/>
  <c r="AA170" i="3" l="1"/>
  <c r="AC170" i="3"/>
  <c r="P170" i="3"/>
  <c r="Q170" i="3" s="1"/>
  <c r="R170" i="3" s="1"/>
  <c r="S170" i="3" s="1"/>
  <c r="AD170" i="3"/>
  <c r="Z170" i="3"/>
  <c r="G169" i="3"/>
  <c r="I169" i="3" s="1"/>
  <c r="V169" i="3"/>
  <c r="AE169" i="3"/>
  <c r="T170" i="3" l="1"/>
  <c r="M169" i="3"/>
  <c r="N169" i="3" s="1"/>
  <c r="J169" i="3"/>
  <c r="L169" i="3" s="1"/>
  <c r="W169" i="3"/>
  <c r="AH170" i="3" l="1"/>
  <c r="U169" i="3"/>
  <c r="E170" i="3" s="1"/>
  <c r="H170" i="3" s="1"/>
  <c r="AG170" i="3"/>
  <c r="Y168" i="3"/>
  <c r="D170" i="3" l="1"/>
  <c r="G170" i="3" s="1"/>
  <c r="K170" i="3"/>
  <c r="A171" i="3" s="1"/>
  <c r="B171" i="3" s="1"/>
  <c r="AD171" i="3" l="1"/>
  <c r="Z171" i="3"/>
  <c r="AA171" i="3"/>
  <c r="AC171" i="3"/>
  <c r="P171" i="3"/>
  <c r="Q171" i="3" s="1"/>
  <c r="R171" i="3" s="1"/>
  <c r="S171" i="3" s="1"/>
  <c r="F170" i="3"/>
  <c r="I170" i="3"/>
  <c r="J170" i="3"/>
  <c r="M170" i="3"/>
  <c r="N170" i="3" s="1"/>
  <c r="V170" i="3"/>
  <c r="AE170" i="3"/>
  <c r="T171" i="3" l="1"/>
  <c r="W170" i="3"/>
  <c r="L170" i="3"/>
  <c r="AG171" i="3" l="1"/>
  <c r="U170" i="3"/>
  <c r="E171" i="3" s="1"/>
  <c r="H171" i="3" s="1"/>
  <c r="AH171" i="3"/>
  <c r="Y169" i="3"/>
  <c r="K171" i="3" l="1"/>
  <c r="A172" i="3" s="1"/>
  <c r="B172" i="3" s="1"/>
  <c r="D171" i="3"/>
  <c r="P172" i="3" l="1"/>
  <c r="Q172" i="3" s="1"/>
  <c r="R172" i="3" s="1"/>
  <c r="S172" i="3" s="1"/>
  <c r="AC172" i="3"/>
  <c r="AD172" i="3"/>
  <c r="AA172" i="3"/>
  <c r="Z172" i="3"/>
  <c r="F171" i="3"/>
  <c r="G171" i="3"/>
  <c r="V171" i="3"/>
  <c r="AE171" i="3"/>
  <c r="T172" i="3" l="1"/>
  <c r="I171" i="3"/>
  <c r="W171" i="3" s="1"/>
  <c r="J171" i="3"/>
  <c r="M171" i="3"/>
  <c r="N171" i="3" s="1"/>
  <c r="L171" i="3" l="1"/>
  <c r="U171" i="3" l="1"/>
  <c r="E172" i="3" s="1"/>
  <c r="H172" i="3" s="1"/>
  <c r="AH172" i="3"/>
  <c r="AG172" i="3"/>
  <c r="Y170" i="3"/>
  <c r="K172" i="3" l="1"/>
  <c r="A173" i="3" s="1"/>
  <c r="B173" i="3" s="1"/>
  <c r="D172" i="3"/>
  <c r="P173" i="3" l="1"/>
  <c r="Q173" i="3" s="1"/>
  <c r="R173" i="3" s="1"/>
  <c r="S173" i="3" s="1"/>
  <c r="AD173" i="3"/>
  <c r="AC173" i="3"/>
  <c r="Z173" i="3"/>
  <c r="AA173" i="3"/>
  <c r="V172" i="3"/>
  <c r="AE172" i="3"/>
  <c r="F172" i="3"/>
  <c r="G172" i="3"/>
  <c r="T173" i="3" l="1"/>
  <c r="I172" i="3"/>
  <c r="W172" i="3" s="1"/>
  <c r="J172" i="3"/>
  <c r="M172" i="3"/>
  <c r="N172" i="3" s="1"/>
  <c r="L172" i="3" l="1"/>
  <c r="U172" i="3" l="1"/>
  <c r="E173" i="3" s="1"/>
  <c r="H173" i="3" s="1"/>
  <c r="AH173" i="3"/>
  <c r="AG173" i="3"/>
  <c r="Y171" i="3"/>
  <c r="D173" i="3" l="1"/>
  <c r="G173" i="3" s="1"/>
  <c r="K173" i="3"/>
  <c r="A174" i="3" s="1"/>
  <c r="B174" i="3" s="1"/>
  <c r="AD174" i="3" l="1"/>
  <c r="P174" i="3"/>
  <c r="Q174" i="3" s="1"/>
  <c r="R174" i="3" s="1"/>
  <c r="S174" i="3" s="1"/>
  <c r="AA174" i="3"/>
  <c r="AC174" i="3"/>
  <c r="Z174" i="3"/>
  <c r="F173" i="3"/>
  <c r="I173" i="3"/>
  <c r="J173" i="3"/>
  <c r="M173" i="3"/>
  <c r="N173" i="3" s="1"/>
  <c r="V173" i="3"/>
  <c r="AE173" i="3"/>
  <c r="T174" i="3" l="1"/>
  <c r="L173" i="3"/>
  <c r="W173" i="3"/>
  <c r="U173" i="3" l="1"/>
  <c r="E174" i="3" s="1"/>
  <c r="H174" i="3" s="1"/>
  <c r="AG174" i="3"/>
  <c r="AH174" i="3"/>
  <c r="Y172" i="3"/>
  <c r="D174" i="3" l="1"/>
  <c r="G174" i="3" s="1"/>
  <c r="K174" i="3"/>
  <c r="A175" i="3" s="1"/>
  <c r="B175" i="3" s="1"/>
  <c r="AC175" i="3" l="1"/>
  <c r="AA175" i="3"/>
  <c r="Z175" i="3"/>
  <c r="P175" i="3"/>
  <c r="Q175" i="3" s="1"/>
  <c r="R175" i="3" s="1"/>
  <c r="S175" i="3" s="1"/>
  <c r="AD175" i="3"/>
  <c r="F174" i="3"/>
  <c r="V174" i="3"/>
  <c r="AE174" i="3"/>
  <c r="I174" i="3"/>
  <c r="J174" i="3"/>
  <c r="M174" i="3"/>
  <c r="N174" i="3" s="1"/>
  <c r="T175" i="3" l="1"/>
  <c r="W174" i="3"/>
  <c r="L174" i="3"/>
  <c r="U174" i="3" l="1"/>
  <c r="D175" i="3" s="1"/>
  <c r="AG175" i="3"/>
  <c r="AH175" i="3"/>
  <c r="Y173" i="3"/>
  <c r="E175" i="3" l="1"/>
  <c r="H175" i="3" s="1"/>
  <c r="K175" i="3" s="1"/>
  <c r="A176" i="3" s="1"/>
  <c r="B176" i="3" s="1"/>
  <c r="G175" i="3"/>
  <c r="P176" i="3" l="1"/>
  <c r="Q176" i="3" s="1"/>
  <c r="R176" i="3" s="1"/>
  <c r="S176" i="3" s="1"/>
  <c r="Z176" i="3"/>
  <c r="AA176" i="3"/>
  <c r="AC176" i="3"/>
  <c r="AD176" i="3"/>
  <c r="F175" i="3"/>
  <c r="I175" i="3"/>
  <c r="J175" i="3"/>
  <c r="M175" i="3"/>
  <c r="N175" i="3" s="1"/>
  <c r="V175" i="3"/>
  <c r="AE175" i="3"/>
  <c r="T176" i="3" l="1"/>
  <c r="W175" i="3"/>
  <c r="L175" i="3"/>
  <c r="U175" i="3" l="1"/>
  <c r="E176" i="3" s="1"/>
  <c r="H176" i="3" s="1"/>
  <c r="AG176" i="3"/>
  <c r="AH176" i="3"/>
  <c r="Y174" i="3"/>
  <c r="D176" i="3" l="1"/>
  <c r="G176" i="3" s="1"/>
  <c r="K176" i="3"/>
  <c r="A177" i="3" s="1"/>
  <c r="B177" i="3" s="1"/>
  <c r="Z177" i="3" l="1"/>
  <c r="AC177" i="3"/>
  <c r="AD177" i="3"/>
  <c r="P177" i="3"/>
  <c r="Q177" i="3" s="1"/>
  <c r="R177" i="3" s="1"/>
  <c r="S177" i="3" s="1"/>
  <c r="AA177" i="3"/>
  <c r="F176" i="3"/>
  <c r="I176" i="3"/>
  <c r="J176" i="3"/>
  <c r="M176" i="3"/>
  <c r="N176" i="3" s="1"/>
  <c r="V176" i="3"/>
  <c r="AE176" i="3"/>
  <c r="T177" i="3" l="1"/>
  <c r="W176" i="3"/>
  <c r="L176" i="3"/>
  <c r="AH177" i="3" l="1"/>
  <c r="U176" i="3"/>
  <c r="D177" i="3" s="1"/>
  <c r="AG177" i="3"/>
  <c r="Y175" i="3"/>
  <c r="G177" i="3" l="1"/>
  <c r="E177" i="3"/>
  <c r="H177" i="3" s="1"/>
  <c r="F177" i="3" l="1"/>
  <c r="I177" i="3"/>
  <c r="J177" i="3"/>
  <c r="M177" i="3"/>
  <c r="N177" i="3" s="1"/>
  <c r="K177" i="3"/>
  <c r="A178" i="3" s="1"/>
  <c r="B178" i="3" s="1"/>
  <c r="AA178" i="3" l="1"/>
  <c r="Z178" i="3"/>
  <c r="AC178" i="3"/>
  <c r="P178" i="3"/>
  <c r="Q178" i="3" s="1"/>
  <c r="R178" i="3" s="1"/>
  <c r="S178" i="3" s="1"/>
  <c r="AD178" i="3"/>
  <c r="V177" i="3"/>
  <c r="W177" i="3" s="1"/>
  <c r="AE177" i="3"/>
  <c r="L177" i="3"/>
  <c r="T178" i="3" l="1"/>
  <c r="AH178" i="3" s="1"/>
  <c r="U177" i="3"/>
  <c r="Y176" i="3"/>
  <c r="E178" i="3" l="1"/>
  <c r="H178" i="3" s="1"/>
  <c r="K178" i="3" s="1"/>
  <c r="A179" i="3" s="1"/>
  <c r="B179" i="3" s="1"/>
  <c r="AG178" i="3"/>
  <c r="D178" i="3"/>
  <c r="G178" i="3" s="1"/>
  <c r="Z179" i="3" l="1"/>
  <c r="AD179" i="3"/>
  <c r="AC179" i="3"/>
  <c r="AA179" i="3"/>
  <c r="P179" i="3"/>
  <c r="Q179" i="3" s="1"/>
  <c r="R179" i="3" s="1"/>
  <c r="S179" i="3" s="1"/>
  <c r="F178" i="3"/>
  <c r="I178" i="3"/>
  <c r="J178" i="3"/>
  <c r="M178" i="3"/>
  <c r="N178" i="3" s="1"/>
  <c r="V178" i="3"/>
  <c r="AE178" i="3"/>
  <c r="T179" i="3" l="1"/>
  <c r="W178" i="3"/>
  <c r="L178" i="3"/>
  <c r="U178" i="3" l="1"/>
  <c r="E179" i="3" s="1"/>
  <c r="H179" i="3" s="1"/>
  <c r="AG179" i="3"/>
  <c r="AH179" i="3"/>
  <c r="Y177" i="3"/>
  <c r="D179" i="3" l="1"/>
  <c r="G179" i="3" s="1"/>
  <c r="K179" i="3"/>
  <c r="A180" i="3" s="1"/>
  <c r="B180" i="3" s="1"/>
  <c r="AC180" i="3" l="1"/>
  <c r="AA180" i="3"/>
  <c r="AD180" i="3"/>
  <c r="P180" i="3"/>
  <c r="Q180" i="3" s="1"/>
  <c r="R180" i="3" s="1"/>
  <c r="S180" i="3" s="1"/>
  <c r="Z180" i="3"/>
  <c r="F179" i="3"/>
  <c r="V179" i="3"/>
  <c r="AE179" i="3"/>
  <c r="I179" i="3"/>
  <c r="J179" i="3"/>
  <c r="M179" i="3"/>
  <c r="N179" i="3" s="1"/>
  <c r="T180" i="3" l="1"/>
  <c r="W179" i="3"/>
  <c r="L179" i="3"/>
  <c r="AG180" i="3" l="1"/>
  <c r="U179" i="3"/>
  <c r="D180" i="3" s="1"/>
  <c r="AH180" i="3"/>
  <c r="Y178" i="3"/>
  <c r="E180" i="3" l="1"/>
  <c r="H180" i="3" s="1"/>
  <c r="K180" i="3" s="1"/>
  <c r="A181" i="3" s="1"/>
  <c r="B181" i="3" s="1"/>
  <c r="G180" i="3"/>
  <c r="AA181" i="3" l="1"/>
  <c r="AC181" i="3"/>
  <c r="P181" i="3"/>
  <c r="Q181" i="3" s="1"/>
  <c r="R181" i="3" s="1"/>
  <c r="S181" i="3" s="1"/>
  <c r="AD181" i="3"/>
  <c r="Z181" i="3"/>
  <c r="F180" i="3"/>
  <c r="I180" i="3"/>
  <c r="J180" i="3"/>
  <c r="M180" i="3"/>
  <c r="N180" i="3" s="1"/>
  <c r="V180" i="3"/>
  <c r="AE180" i="3"/>
  <c r="T181" i="3" l="1"/>
  <c r="L180" i="3"/>
  <c r="W180" i="3"/>
  <c r="U180" i="3" l="1"/>
  <c r="E181" i="3" s="1"/>
  <c r="H181" i="3" s="1"/>
  <c r="AH181" i="3"/>
  <c r="AG181" i="3"/>
  <c r="Y179" i="3"/>
  <c r="D181" i="3" l="1"/>
  <c r="G181" i="3" s="1"/>
  <c r="K181" i="3"/>
  <c r="A182" i="3" s="1"/>
  <c r="B182" i="3" s="1"/>
  <c r="AA182" i="3" l="1"/>
  <c r="P182" i="3"/>
  <c r="Q182" i="3" s="1"/>
  <c r="R182" i="3" s="1"/>
  <c r="S182" i="3" s="1"/>
  <c r="Z182" i="3"/>
  <c r="AC182" i="3"/>
  <c r="AD182" i="3"/>
  <c r="F181" i="3"/>
  <c r="I181" i="3"/>
  <c r="J181" i="3"/>
  <c r="M181" i="3"/>
  <c r="N181" i="3" s="1"/>
  <c r="V181" i="3"/>
  <c r="AE181" i="3"/>
  <c r="T182" i="3" l="1"/>
  <c r="W181" i="3"/>
  <c r="L181" i="3"/>
  <c r="AH182" i="3" l="1"/>
  <c r="U181" i="3"/>
  <c r="E182" i="3" s="1"/>
  <c r="H182" i="3" s="1"/>
  <c r="AG182" i="3"/>
  <c r="Y180" i="3"/>
  <c r="K182" i="3" l="1"/>
  <c r="A183" i="3" s="1"/>
  <c r="B183" i="3" s="1"/>
  <c r="D182" i="3"/>
  <c r="AA183" i="3" l="1"/>
  <c r="AD183" i="3"/>
  <c r="P183" i="3"/>
  <c r="Q183" i="3" s="1"/>
  <c r="R183" i="3" s="1"/>
  <c r="S183" i="3" s="1"/>
  <c r="AC183" i="3"/>
  <c r="Z183" i="3"/>
  <c r="V182" i="3"/>
  <c r="AE182" i="3"/>
  <c r="F182" i="3"/>
  <c r="G182" i="3"/>
  <c r="T183" i="3" l="1"/>
  <c r="I182" i="3"/>
  <c r="W182" i="3" s="1"/>
  <c r="J182" i="3"/>
  <c r="M182" i="3"/>
  <c r="N182" i="3" s="1"/>
  <c r="L182" i="3" l="1"/>
  <c r="U182" i="3" l="1"/>
  <c r="E183" i="3" s="1"/>
  <c r="H183" i="3" s="1"/>
  <c r="AH183" i="3"/>
  <c r="AG183" i="3"/>
  <c r="Y181" i="3"/>
  <c r="D183" i="3" l="1"/>
  <c r="G183" i="3" s="1"/>
  <c r="K183" i="3"/>
  <c r="A184" i="3" s="1"/>
  <c r="B184" i="3" s="1"/>
  <c r="AD184" i="3" l="1"/>
  <c r="Z184" i="3"/>
  <c r="P184" i="3"/>
  <c r="Q184" i="3" s="1"/>
  <c r="R184" i="3" s="1"/>
  <c r="S184" i="3" s="1"/>
  <c r="AC184" i="3"/>
  <c r="AA184" i="3"/>
  <c r="F183" i="3"/>
  <c r="I183" i="3"/>
  <c r="J183" i="3"/>
  <c r="M183" i="3"/>
  <c r="N183" i="3" s="1"/>
  <c r="V183" i="3"/>
  <c r="AE183" i="3"/>
  <c r="T184" i="3" l="1"/>
  <c r="W183" i="3"/>
  <c r="L183" i="3"/>
  <c r="U183" i="3" l="1"/>
  <c r="D184" i="3" s="1"/>
  <c r="AG184" i="3"/>
  <c r="AH184" i="3"/>
  <c r="Y182" i="3"/>
  <c r="G184" i="3" l="1"/>
  <c r="E184" i="3"/>
  <c r="H184" i="3" s="1"/>
  <c r="K184" i="3" l="1"/>
  <c r="A185" i="3" s="1"/>
  <c r="B185" i="3" s="1"/>
  <c r="I184" i="3"/>
  <c r="J184" i="3"/>
  <c r="M184" i="3"/>
  <c r="N184" i="3" s="1"/>
  <c r="F184" i="3"/>
  <c r="AD185" i="3" l="1"/>
  <c r="AC185" i="3"/>
  <c r="AA185" i="3"/>
  <c r="P185" i="3"/>
  <c r="Q185" i="3" s="1"/>
  <c r="R185" i="3" s="1"/>
  <c r="S185" i="3" s="1"/>
  <c r="Z185" i="3"/>
  <c r="V184" i="3"/>
  <c r="W184" i="3" s="1"/>
  <c r="AE184" i="3"/>
  <c r="L184" i="3"/>
  <c r="T185" i="3" l="1"/>
  <c r="AH185" i="3" s="1"/>
  <c r="U184" i="3"/>
  <c r="Y183" i="3"/>
  <c r="D185" i="3" l="1"/>
  <c r="G185" i="3" s="1"/>
  <c r="AG185" i="3"/>
  <c r="E185" i="3"/>
  <c r="H185" i="3" s="1"/>
  <c r="K185" i="3" s="1"/>
  <c r="A186" i="3" s="1"/>
  <c r="B186" i="3" s="1"/>
  <c r="Z186" i="3" l="1"/>
  <c r="P186" i="3"/>
  <c r="Q186" i="3" s="1"/>
  <c r="R186" i="3" s="1"/>
  <c r="S186" i="3" s="1"/>
  <c r="AA186" i="3"/>
  <c r="AC186" i="3"/>
  <c r="AD186" i="3"/>
  <c r="F185" i="3"/>
  <c r="I185" i="3"/>
  <c r="J185" i="3"/>
  <c r="M185" i="3"/>
  <c r="N185" i="3" s="1"/>
  <c r="V185" i="3"/>
  <c r="AE185" i="3"/>
  <c r="T186" i="3" l="1"/>
  <c r="W185" i="3"/>
  <c r="L185" i="3"/>
  <c r="U185" i="3" l="1"/>
  <c r="E186" i="3" s="1"/>
  <c r="H186" i="3" s="1"/>
  <c r="AH186" i="3"/>
  <c r="AG186" i="3"/>
  <c r="Y184" i="3"/>
  <c r="D186" i="3" l="1"/>
  <c r="G186" i="3" s="1"/>
  <c r="K186" i="3"/>
  <c r="A187" i="3" s="1"/>
  <c r="B187" i="3" s="1"/>
  <c r="AD187" i="3" l="1"/>
  <c r="AA187" i="3"/>
  <c r="AC187" i="3"/>
  <c r="P187" i="3"/>
  <c r="Q187" i="3" s="1"/>
  <c r="R187" i="3" s="1"/>
  <c r="S187" i="3" s="1"/>
  <c r="Z187" i="3"/>
  <c r="F186" i="3"/>
  <c r="V186" i="3"/>
  <c r="AE186" i="3"/>
  <c r="I186" i="3"/>
  <c r="J186" i="3"/>
  <c r="M186" i="3"/>
  <c r="N186" i="3" s="1"/>
  <c r="T187" i="3" l="1"/>
  <c r="L186" i="3"/>
  <c r="W186" i="3"/>
  <c r="AG187" i="3" l="1"/>
  <c r="AH187" i="3"/>
  <c r="U186" i="3"/>
  <c r="D187" i="3" s="1"/>
  <c r="Y185" i="3"/>
  <c r="G187" i="3" l="1"/>
  <c r="E187" i="3"/>
  <c r="H187" i="3" s="1"/>
  <c r="I187" i="3" l="1"/>
  <c r="J187" i="3"/>
  <c r="M187" i="3"/>
  <c r="N187" i="3" s="1"/>
  <c r="F187" i="3"/>
  <c r="K187" i="3"/>
  <c r="A188" i="3" s="1"/>
  <c r="B188" i="3" s="1"/>
  <c r="Z188" i="3" l="1"/>
  <c r="P188" i="3"/>
  <c r="Q188" i="3" s="1"/>
  <c r="R188" i="3" s="1"/>
  <c r="S188" i="3" s="1"/>
  <c r="AC188" i="3"/>
  <c r="AA188" i="3"/>
  <c r="AD188" i="3"/>
  <c r="L187" i="3"/>
  <c r="V187" i="3"/>
  <c r="W187" i="3" s="1"/>
  <c r="AE187" i="3"/>
  <c r="T188" i="3" l="1"/>
  <c r="AG188" i="3" s="1"/>
  <c r="U187" i="3"/>
  <c r="Y186" i="3"/>
  <c r="AH188" i="3" l="1"/>
  <c r="E188" i="3"/>
  <c r="H188" i="3" s="1"/>
  <c r="K188" i="3" s="1"/>
  <c r="A189" i="3" s="1"/>
  <c r="B189" i="3" s="1"/>
  <c r="D188" i="3"/>
  <c r="G188" i="3" s="1"/>
  <c r="Z189" i="3" l="1"/>
  <c r="AC189" i="3"/>
  <c r="AD189" i="3"/>
  <c r="P189" i="3"/>
  <c r="Q189" i="3" s="1"/>
  <c r="R189" i="3" s="1"/>
  <c r="S189" i="3" s="1"/>
  <c r="AA189" i="3"/>
  <c r="F188" i="3"/>
  <c r="I188" i="3"/>
  <c r="J188" i="3"/>
  <c r="M188" i="3"/>
  <c r="N188" i="3" s="1"/>
  <c r="V188" i="3"/>
  <c r="AE188" i="3"/>
  <c r="T189" i="3" l="1"/>
  <c r="W188" i="3"/>
  <c r="L188" i="3"/>
  <c r="U188" i="3" l="1"/>
  <c r="E189" i="3" s="1"/>
  <c r="H189" i="3" s="1"/>
  <c r="AH189" i="3"/>
  <c r="AG189" i="3"/>
  <c r="Y187" i="3"/>
  <c r="D189" i="3" l="1"/>
  <c r="G189" i="3" s="1"/>
  <c r="K189" i="3"/>
  <c r="A190" i="3" s="1"/>
  <c r="B190" i="3" s="1"/>
  <c r="AC190" i="3" l="1"/>
  <c r="Z190" i="3"/>
  <c r="AD190" i="3"/>
  <c r="AA190" i="3"/>
  <c r="P190" i="3"/>
  <c r="Q190" i="3" s="1"/>
  <c r="R190" i="3" s="1"/>
  <c r="S190" i="3" s="1"/>
  <c r="F189" i="3"/>
  <c r="I189" i="3"/>
  <c r="J189" i="3"/>
  <c r="M189" i="3"/>
  <c r="N189" i="3" s="1"/>
  <c r="V189" i="3"/>
  <c r="AE189" i="3"/>
  <c r="T190" i="3" l="1"/>
  <c r="W189" i="3"/>
  <c r="L189" i="3"/>
  <c r="AH190" i="3" l="1"/>
  <c r="U189" i="3"/>
  <c r="D190" i="3" s="1"/>
  <c r="AG190" i="3"/>
  <c r="Y188" i="3"/>
  <c r="G190" i="3" l="1"/>
  <c r="E190" i="3"/>
  <c r="H190" i="3" s="1"/>
  <c r="K190" i="3" l="1"/>
  <c r="A191" i="3" s="1"/>
  <c r="B191" i="3" s="1"/>
  <c r="I190" i="3"/>
  <c r="J190" i="3"/>
  <c r="M190" i="3"/>
  <c r="N190" i="3" s="1"/>
  <c r="F190" i="3"/>
  <c r="P191" i="3" l="1"/>
  <c r="Q191" i="3" s="1"/>
  <c r="R191" i="3" s="1"/>
  <c r="S191" i="3" s="1"/>
  <c r="AA191" i="3"/>
  <c r="AC191" i="3"/>
  <c r="AD191" i="3"/>
  <c r="Z191" i="3"/>
  <c r="L190" i="3"/>
  <c r="V190" i="3"/>
  <c r="W190" i="3" s="1"/>
  <c r="AE190" i="3"/>
  <c r="T191" i="3" l="1"/>
  <c r="AG191" i="3" s="1"/>
  <c r="U190" i="3"/>
  <c r="Y189" i="3"/>
  <c r="AH191" i="3" l="1"/>
  <c r="E191" i="3"/>
  <c r="H191" i="3" s="1"/>
  <c r="K191" i="3" s="1"/>
  <c r="A192" i="3" s="1"/>
  <c r="B192" i="3" s="1"/>
  <c r="D191" i="3"/>
  <c r="P192" i="3" l="1"/>
  <c r="Q192" i="3" s="1"/>
  <c r="R192" i="3" s="1"/>
  <c r="S192" i="3" s="1"/>
  <c r="Z192" i="3"/>
  <c r="AD192" i="3"/>
  <c r="AA192" i="3"/>
  <c r="AC192" i="3"/>
  <c r="V191" i="3"/>
  <c r="AE191" i="3"/>
  <c r="F191" i="3"/>
  <c r="G191" i="3"/>
  <c r="T192" i="3" l="1"/>
  <c r="I191" i="3"/>
  <c r="W191" i="3" s="1"/>
  <c r="J191" i="3"/>
  <c r="M191" i="3"/>
  <c r="N191" i="3" s="1"/>
  <c r="L191" i="3" l="1"/>
  <c r="AG192" i="3" l="1"/>
  <c r="U191" i="3"/>
  <c r="E192" i="3" s="1"/>
  <c r="H192" i="3" s="1"/>
  <c r="AH192" i="3"/>
  <c r="Y190" i="3"/>
  <c r="D192" i="3" l="1"/>
  <c r="G192" i="3" s="1"/>
  <c r="K192" i="3"/>
  <c r="A193" i="3" s="1"/>
  <c r="B193" i="3" s="1"/>
  <c r="AC193" i="3" l="1"/>
  <c r="AA193" i="3"/>
  <c r="AD193" i="3"/>
  <c r="P193" i="3"/>
  <c r="Q193" i="3" s="1"/>
  <c r="R193" i="3" s="1"/>
  <c r="S193" i="3" s="1"/>
  <c r="Z193" i="3"/>
  <c r="F192" i="3"/>
  <c r="I192" i="3"/>
  <c r="J192" i="3"/>
  <c r="M192" i="3"/>
  <c r="N192" i="3" s="1"/>
  <c r="V192" i="3"/>
  <c r="AE192" i="3"/>
  <c r="T193" i="3" l="1"/>
  <c r="W192" i="3"/>
  <c r="L192" i="3"/>
  <c r="U192" i="3" l="1"/>
  <c r="D193" i="3" s="1"/>
  <c r="AG193" i="3"/>
  <c r="AH193" i="3"/>
  <c r="Y191" i="3"/>
  <c r="G193" i="3" l="1"/>
  <c r="E193" i="3"/>
  <c r="H193" i="3" s="1"/>
  <c r="K193" i="3" l="1"/>
  <c r="A194" i="3" s="1"/>
  <c r="B194" i="3" s="1"/>
  <c r="I193" i="3"/>
  <c r="J193" i="3"/>
  <c r="M193" i="3"/>
  <c r="N193" i="3" s="1"/>
  <c r="F193" i="3"/>
  <c r="AD194" i="3" l="1"/>
  <c r="P194" i="3"/>
  <c r="Q194" i="3" s="1"/>
  <c r="R194" i="3" s="1"/>
  <c r="S194" i="3" s="1"/>
  <c r="AA194" i="3"/>
  <c r="AC194" i="3"/>
  <c r="Z194" i="3"/>
  <c r="L193" i="3"/>
  <c r="V193" i="3"/>
  <c r="W193" i="3" s="1"/>
  <c r="AE193" i="3"/>
  <c r="T194" i="3" l="1"/>
  <c r="AH194" i="3" s="1"/>
  <c r="U193" i="3"/>
  <c r="Y192" i="3"/>
  <c r="AG194" i="3" l="1"/>
  <c r="D194" i="3"/>
  <c r="G194" i="3" s="1"/>
  <c r="E194" i="3"/>
  <c r="H194" i="3" s="1"/>
  <c r="K194" i="3" s="1"/>
  <c r="A195" i="3" s="1"/>
  <c r="B195" i="3" s="1"/>
  <c r="P195" i="3" l="1"/>
  <c r="Q195" i="3" s="1"/>
  <c r="R195" i="3" s="1"/>
  <c r="S195" i="3" s="1"/>
  <c r="AD195" i="3"/>
  <c r="Z195" i="3"/>
  <c r="AA195" i="3"/>
  <c r="AC195" i="3"/>
  <c r="F194" i="3"/>
  <c r="V194" i="3"/>
  <c r="AE194" i="3"/>
  <c r="I194" i="3"/>
  <c r="J194" i="3"/>
  <c r="M194" i="3"/>
  <c r="N194" i="3" s="1"/>
  <c r="T195" i="3" l="1"/>
  <c r="W194" i="3"/>
  <c r="L194" i="3"/>
  <c r="U194" i="3" l="1"/>
  <c r="D195" i="3" s="1"/>
  <c r="AH195" i="3"/>
  <c r="AG195" i="3"/>
  <c r="Y193" i="3"/>
  <c r="E195" i="3" l="1"/>
  <c r="H195" i="3" s="1"/>
  <c r="K195" i="3" s="1"/>
  <c r="A196" i="3" s="1"/>
  <c r="B196" i="3" s="1"/>
  <c r="G195" i="3"/>
  <c r="P196" i="3" l="1"/>
  <c r="Q196" i="3" s="1"/>
  <c r="R196" i="3" s="1"/>
  <c r="S196" i="3" s="1"/>
  <c r="Z196" i="3"/>
  <c r="AC196" i="3"/>
  <c r="AD196" i="3"/>
  <c r="AA196" i="3"/>
  <c r="F195" i="3"/>
  <c r="V195" i="3"/>
  <c r="AE195" i="3"/>
  <c r="I195" i="3"/>
  <c r="J195" i="3"/>
  <c r="M195" i="3"/>
  <c r="N195" i="3" s="1"/>
  <c r="T196" i="3" l="1"/>
  <c r="W195" i="3"/>
  <c r="L195" i="3"/>
  <c r="AH196" i="3" l="1"/>
  <c r="U195" i="3"/>
  <c r="D196" i="3" s="1"/>
  <c r="AG196" i="3"/>
  <c r="Y194" i="3"/>
  <c r="E196" i="3" l="1"/>
  <c r="H196" i="3" s="1"/>
  <c r="K196" i="3" s="1"/>
  <c r="A197" i="3" s="1"/>
  <c r="B197" i="3" s="1"/>
  <c r="G196" i="3"/>
  <c r="AD197" i="3" l="1"/>
  <c r="AA197" i="3"/>
  <c r="Z197" i="3"/>
  <c r="AC197" i="3"/>
  <c r="P197" i="3"/>
  <c r="Q197" i="3" s="1"/>
  <c r="R197" i="3" s="1"/>
  <c r="S197" i="3" s="1"/>
  <c r="F196" i="3"/>
  <c r="I196" i="3"/>
  <c r="J196" i="3"/>
  <c r="M196" i="3"/>
  <c r="N196" i="3" s="1"/>
  <c r="V196" i="3"/>
  <c r="AE196" i="3"/>
  <c r="T197" i="3" l="1"/>
  <c r="L196" i="3"/>
  <c r="W196" i="3"/>
  <c r="U196" i="3" l="1"/>
  <c r="E197" i="3" s="1"/>
  <c r="H197" i="3" s="1"/>
  <c r="AG197" i="3"/>
  <c r="AH197" i="3"/>
  <c r="Y195" i="3"/>
  <c r="D197" i="3" l="1"/>
  <c r="G197" i="3" s="1"/>
  <c r="K197" i="3"/>
  <c r="A198" i="3" s="1"/>
  <c r="B198" i="3" s="1"/>
  <c r="P198" i="3" l="1"/>
  <c r="Q198" i="3" s="1"/>
  <c r="R198" i="3" s="1"/>
  <c r="S198" i="3" s="1"/>
  <c r="AA198" i="3"/>
  <c r="Z198" i="3"/>
  <c r="AC198" i="3"/>
  <c r="AD198" i="3"/>
  <c r="F197" i="3"/>
  <c r="I197" i="3"/>
  <c r="J197" i="3"/>
  <c r="M197" i="3"/>
  <c r="N197" i="3" s="1"/>
  <c r="V197" i="3"/>
  <c r="AE197" i="3"/>
  <c r="T198" i="3" l="1"/>
  <c r="W197" i="3"/>
  <c r="L197" i="3"/>
  <c r="AG198" i="3" l="1"/>
  <c r="AH198" i="3"/>
  <c r="U197" i="3"/>
  <c r="E198" i="3" s="1"/>
  <c r="H198" i="3" s="1"/>
  <c r="Y196" i="3"/>
  <c r="K198" i="3" l="1"/>
  <c r="A199" i="3" s="1"/>
  <c r="B199" i="3" s="1"/>
  <c r="D198" i="3"/>
  <c r="AD199" i="3" l="1"/>
  <c r="P199" i="3"/>
  <c r="Q199" i="3" s="1"/>
  <c r="R199" i="3" s="1"/>
  <c r="S199" i="3" s="1"/>
  <c r="AC199" i="3"/>
  <c r="AA199" i="3"/>
  <c r="Z199" i="3"/>
  <c r="V198" i="3"/>
  <c r="AE198" i="3"/>
  <c r="F198" i="3"/>
  <c r="G198" i="3"/>
  <c r="T199" i="3" l="1"/>
  <c r="I198" i="3"/>
  <c r="W198" i="3" s="1"/>
  <c r="J198" i="3"/>
  <c r="M198" i="3"/>
  <c r="N198" i="3" s="1"/>
  <c r="L198" i="3" l="1"/>
  <c r="AG199" i="3" l="1"/>
  <c r="U198" i="3"/>
  <c r="E199" i="3" s="1"/>
  <c r="H199" i="3" s="1"/>
  <c r="AH199" i="3"/>
  <c r="Y197" i="3"/>
  <c r="K199" i="3" l="1"/>
  <c r="A200" i="3" s="1"/>
  <c r="B200" i="3" s="1"/>
  <c r="D199" i="3"/>
  <c r="AA200" i="3" l="1"/>
  <c r="AC200" i="3"/>
  <c r="Z200" i="3"/>
  <c r="P200" i="3"/>
  <c r="Q200" i="3" s="1"/>
  <c r="R200" i="3" s="1"/>
  <c r="S200" i="3" s="1"/>
  <c r="AD200" i="3"/>
  <c r="V199" i="3"/>
  <c r="AE199" i="3"/>
  <c r="F199" i="3"/>
  <c r="G199" i="3"/>
  <c r="T200" i="3" l="1"/>
  <c r="I199" i="3"/>
  <c r="W199" i="3" s="1"/>
  <c r="J199" i="3"/>
  <c r="M199" i="3"/>
  <c r="N199" i="3" s="1"/>
  <c r="L199" i="3" l="1"/>
  <c r="AH200" i="3" l="1"/>
  <c r="AG200" i="3"/>
  <c r="U199" i="3"/>
  <c r="E200" i="3" s="1"/>
  <c r="H200" i="3" s="1"/>
  <c r="Y198" i="3"/>
  <c r="K200" i="3" l="1"/>
  <c r="A201" i="3" s="1"/>
  <c r="B201" i="3" s="1"/>
  <c r="D200" i="3"/>
  <c r="AC201" i="3" l="1"/>
  <c r="AD201" i="3"/>
  <c r="P201" i="3"/>
  <c r="Q201" i="3" s="1"/>
  <c r="R201" i="3" s="1"/>
  <c r="S201" i="3" s="1"/>
  <c r="AA201" i="3"/>
  <c r="Z201" i="3"/>
  <c r="V200" i="3"/>
  <c r="AE200" i="3"/>
  <c r="F200" i="3"/>
  <c r="G200" i="3"/>
  <c r="T201" i="3" l="1"/>
  <c r="I200" i="3"/>
  <c r="W200" i="3" s="1"/>
  <c r="J200" i="3"/>
  <c r="M200" i="3"/>
  <c r="N200" i="3" s="1"/>
  <c r="L200" i="3" l="1"/>
  <c r="AG201" i="3" l="1"/>
  <c r="U200" i="3"/>
  <c r="E201" i="3" s="1"/>
  <c r="H201" i="3" s="1"/>
  <c r="AH201" i="3"/>
  <c r="Y199" i="3"/>
  <c r="D201" i="3" l="1"/>
  <c r="G201" i="3" s="1"/>
  <c r="K201" i="3"/>
  <c r="A202" i="3" s="1"/>
  <c r="B202" i="3" s="1"/>
  <c r="AA202" i="3" l="1"/>
  <c r="AC202" i="3"/>
  <c r="AD202" i="3"/>
  <c r="Z202" i="3"/>
  <c r="P202" i="3"/>
  <c r="Q202" i="3" s="1"/>
  <c r="R202" i="3" s="1"/>
  <c r="S202" i="3" s="1"/>
  <c r="F201" i="3"/>
  <c r="I201" i="3"/>
  <c r="J201" i="3"/>
  <c r="M201" i="3"/>
  <c r="N201" i="3" s="1"/>
  <c r="V201" i="3"/>
  <c r="AE201" i="3"/>
  <c r="T202" i="3" l="1"/>
  <c r="W201" i="3"/>
  <c r="L201" i="3"/>
  <c r="U201" i="3" l="1"/>
  <c r="E202" i="3" s="1"/>
  <c r="H202" i="3" s="1"/>
  <c r="AG202" i="3"/>
  <c r="AH202" i="3"/>
  <c r="Y200" i="3"/>
  <c r="D202" i="3" l="1"/>
  <c r="G202" i="3" s="1"/>
  <c r="K202" i="3"/>
  <c r="A203" i="3" s="1"/>
  <c r="B203" i="3" s="1"/>
  <c r="Z203" i="3" l="1"/>
  <c r="P203" i="3"/>
  <c r="Q203" i="3" s="1"/>
  <c r="R203" i="3" s="1"/>
  <c r="S203" i="3" s="1"/>
  <c r="AD203" i="3"/>
  <c r="AC203" i="3"/>
  <c r="AA203" i="3"/>
  <c r="F202" i="3"/>
  <c r="V202" i="3"/>
  <c r="AE202" i="3"/>
  <c r="I202" i="3"/>
  <c r="J202" i="3"/>
  <c r="M202" i="3"/>
  <c r="N202" i="3" s="1"/>
  <c r="T203" i="3" l="1"/>
  <c r="W202" i="3"/>
  <c r="L202" i="3"/>
  <c r="U202" i="3" l="1"/>
  <c r="E203" i="3" s="1"/>
  <c r="H203" i="3" s="1"/>
  <c r="AH203" i="3"/>
  <c r="AG203" i="3"/>
  <c r="Y201" i="3"/>
  <c r="D203" i="3" l="1"/>
  <c r="G203" i="3" s="1"/>
  <c r="K203" i="3"/>
  <c r="A204" i="3" s="1"/>
  <c r="B204" i="3" s="1"/>
  <c r="Z204" i="3" l="1"/>
  <c r="AC204" i="3"/>
  <c r="AA204" i="3"/>
  <c r="P204" i="3"/>
  <c r="Q204" i="3" s="1"/>
  <c r="R204" i="3" s="1"/>
  <c r="S204" i="3" s="1"/>
  <c r="T204" i="3" s="1"/>
  <c r="F203" i="3"/>
  <c r="I203" i="3"/>
  <c r="J203" i="3"/>
  <c r="M203" i="3"/>
  <c r="N203" i="3" s="1"/>
  <c r="V203" i="3"/>
  <c r="AE203" i="3"/>
  <c r="W203" i="3" l="1"/>
  <c r="L203" i="3"/>
  <c r="U203" i="3" l="1"/>
  <c r="E204" i="3" s="1"/>
  <c r="H204" i="3" s="1"/>
  <c r="AH204" i="3"/>
  <c r="AG204" i="3"/>
  <c r="Y202" i="3"/>
  <c r="D204" i="3" l="1"/>
  <c r="G204" i="3" s="1"/>
  <c r="K204" i="3"/>
  <c r="F204" i="3" l="1"/>
  <c r="I204" i="3"/>
  <c r="J204" i="3"/>
  <c r="M204" i="3"/>
  <c r="N204" i="3" s="1"/>
  <c r="V204" i="3"/>
  <c r="A205" i="3"/>
  <c r="B205" i="3" s="1"/>
  <c r="AE204" i="3"/>
  <c r="W204" i="3" l="1"/>
  <c r="L204" i="3"/>
  <c r="AD204" i="3"/>
  <c r="AC205" i="3"/>
  <c r="P205" i="3"/>
  <c r="Q205" i="3" s="1"/>
  <c r="R205" i="3" s="1"/>
  <c r="S205" i="3" s="1"/>
  <c r="Z205" i="3"/>
  <c r="AA205" i="3"/>
  <c r="AD205" i="3"/>
  <c r="U204" i="3" l="1"/>
  <c r="Y203" i="3"/>
  <c r="T205" i="3"/>
  <c r="AH205" i="3" s="1"/>
  <c r="E205" i="3" l="1"/>
  <c r="H205" i="3" s="1"/>
  <c r="D205" i="3"/>
  <c r="AG205" i="3"/>
  <c r="K205" i="3" l="1"/>
  <c r="F205" i="3"/>
  <c r="G205" i="3"/>
  <c r="V205" i="3" l="1"/>
  <c r="A206" i="3"/>
  <c r="B206" i="3" s="1"/>
  <c r="AE205" i="3"/>
  <c r="I205" i="3"/>
  <c r="J205" i="3"/>
  <c r="M205" i="3"/>
  <c r="N205" i="3" s="1"/>
  <c r="W205" i="3" l="1"/>
  <c r="L205" i="3"/>
  <c r="AC206" i="3"/>
  <c r="P206" i="3"/>
  <c r="Q206" i="3" s="1"/>
  <c r="R206" i="3" s="1"/>
  <c r="S206" i="3" s="1"/>
  <c r="Z206" i="3"/>
  <c r="AA206" i="3"/>
  <c r="AD206" i="3"/>
  <c r="T206" i="3" l="1"/>
  <c r="AH206" i="3" s="1"/>
  <c r="U205" i="3"/>
  <c r="Y204" i="3"/>
  <c r="AG206" i="3" l="1"/>
  <c r="D206" i="3"/>
  <c r="E206" i="3"/>
  <c r="H206" i="3" s="1"/>
  <c r="F206" i="3" l="1"/>
  <c r="G206" i="3"/>
  <c r="K206" i="3"/>
  <c r="I206" i="3" l="1"/>
  <c r="J206" i="3"/>
  <c r="M206" i="3"/>
  <c r="N206" i="3" s="1"/>
  <c r="V206" i="3"/>
  <c r="A207" i="3"/>
  <c r="B207" i="3" s="1"/>
  <c r="AE206" i="3"/>
  <c r="W206" i="3" l="1"/>
  <c r="L206" i="3"/>
  <c r="AD207" i="3"/>
  <c r="P207" i="3"/>
  <c r="Q207" i="3" s="1"/>
  <c r="R207" i="3" s="1"/>
  <c r="S207" i="3" s="1"/>
  <c r="AC207" i="3"/>
  <c r="Z207" i="3"/>
  <c r="AA207" i="3"/>
  <c r="T207" i="3" l="1"/>
  <c r="U206" i="3"/>
  <c r="Y205" i="3"/>
  <c r="D207" i="3" l="1"/>
  <c r="G207" i="3" s="1"/>
  <c r="AH207" i="3"/>
  <c r="E207" i="3"/>
  <c r="H207" i="3" s="1"/>
  <c r="AG207" i="3"/>
  <c r="F207" i="3" l="1"/>
  <c r="I207" i="3"/>
  <c r="J207" i="3"/>
  <c r="M207" i="3"/>
  <c r="N207" i="3" s="1"/>
  <c r="K207" i="3"/>
  <c r="V207" i="3" l="1"/>
  <c r="W207" i="3" s="1"/>
  <c r="AE207" i="3"/>
  <c r="A208" i="3"/>
  <c r="B208" i="3" s="1"/>
  <c r="L207" i="3"/>
  <c r="Z208" i="3" l="1"/>
  <c r="AC208" i="3"/>
  <c r="AA208" i="3"/>
  <c r="P208" i="3"/>
  <c r="Q208" i="3" s="1"/>
  <c r="R208" i="3" s="1"/>
  <c r="S208" i="3" s="1"/>
  <c r="AD208" i="3"/>
  <c r="U207" i="3"/>
  <c r="Y206" i="3"/>
  <c r="T208" i="3" l="1"/>
  <c r="AG208" i="3" s="1"/>
  <c r="AH208" i="3" l="1"/>
  <c r="D208" i="3"/>
  <c r="G208" i="3" s="1"/>
  <c r="E208" i="3"/>
  <c r="H208" i="3" s="1"/>
  <c r="K208" i="3" s="1"/>
  <c r="F208" i="3" l="1"/>
  <c r="I208" i="3"/>
  <c r="J208" i="3"/>
  <c r="M208" i="3"/>
  <c r="N208" i="3" s="1"/>
  <c r="V208" i="3"/>
  <c r="A209" i="3"/>
  <c r="B209" i="3" s="1"/>
  <c r="AE208" i="3"/>
  <c r="W208" i="3" l="1"/>
  <c r="L208" i="3"/>
  <c r="P209" i="3"/>
  <c r="Q209" i="3" s="1"/>
  <c r="R209" i="3" s="1"/>
  <c r="S209" i="3" s="1"/>
  <c r="AC209" i="3"/>
  <c r="AD209" i="3"/>
  <c r="AA209" i="3"/>
  <c r="Z209" i="3"/>
  <c r="U208" i="3" l="1"/>
  <c r="Y207" i="3"/>
  <c r="T209" i="3"/>
  <c r="AH209" i="3" s="1"/>
  <c r="AG209" i="3" l="1"/>
  <c r="D209" i="3"/>
  <c r="G209" i="3" s="1"/>
  <c r="E209" i="3"/>
  <c r="H209" i="3" s="1"/>
  <c r="F209" i="3" l="1"/>
  <c r="K209" i="3"/>
  <c r="I209" i="3"/>
  <c r="J209" i="3"/>
  <c r="M209" i="3"/>
  <c r="N209" i="3" s="1"/>
  <c r="L209" i="3" l="1"/>
  <c r="V209" i="3"/>
  <c r="W209" i="3" s="1"/>
  <c r="A210" i="3"/>
  <c r="B210" i="3" s="1"/>
  <c r="AE209" i="3"/>
  <c r="AC210" i="3" l="1"/>
  <c r="Z210" i="3"/>
  <c r="P210" i="3"/>
  <c r="Q210" i="3" s="1"/>
  <c r="R210" i="3" s="1"/>
  <c r="S210" i="3" s="1"/>
  <c r="AA210" i="3"/>
  <c r="AD210" i="3"/>
  <c r="U209" i="3"/>
  <c r="Y208" i="3"/>
  <c r="T210" i="3" l="1"/>
  <c r="AG210" i="3" s="1"/>
  <c r="AH210" i="3" l="1"/>
  <c r="D210" i="3"/>
  <c r="E210" i="3"/>
  <c r="H210" i="3" s="1"/>
  <c r="F210" i="3" l="1"/>
  <c r="G210" i="3"/>
  <c r="K210" i="3"/>
  <c r="V210" i="3" l="1"/>
  <c r="AE210" i="3"/>
  <c r="A211" i="3"/>
  <c r="B211" i="3" s="1"/>
  <c r="I210" i="3"/>
  <c r="J210" i="3"/>
  <c r="M210" i="3"/>
  <c r="N210" i="3" s="1"/>
  <c r="W210" i="3" l="1"/>
  <c r="AC211" i="3"/>
  <c r="Z211" i="3"/>
  <c r="P211" i="3"/>
  <c r="Q211" i="3" s="1"/>
  <c r="R211" i="3" s="1"/>
  <c r="S211" i="3" s="1"/>
  <c r="AA211" i="3"/>
  <c r="AD211" i="3"/>
  <c r="L210" i="3"/>
  <c r="T211" i="3" l="1"/>
  <c r="AG211" i="3" s="1"/>
  <c r="U210" i="3"/>
  <c r="Y209" i="3"/>
  <c r="E211" i="3" l="1"/>
  <c r="H211" i="3" s="1"/>
  <c r="D211" i="3"/>
  <c r="AH211" i="3"/>
  <c r="K211" i="3" l="1"/>
  <c r="F211" i="3"/>
  <c r="G211" i="3"/>
  <c r="I211" i="3" l="1"/>
  <c r="J211" i="3"/>
  <c r="M211" i="3"/>
  <c r="N211" i="3" s="1"/>
  <c r="V211" i="3"/>
  <c r="AE211" i="3"/>
  <c r="A212" i="3"/>
  <c r="B212" i="3" s="1"/>
  <c r="W211" i="3" l="1"/>
  <c r="AA212" i="3"/>
  <c r="Z212" i="3"/>
  <c r="P212" i="3"/>
  <c r="Q212" i="3" s="1"/>
  <c r="R212" i="3" s="1"/>
  <c r="S212" i="3" s="1"/>
  <c r="AC212" i="3"/>
  <c r="AD212" i="3"/>
  <c r="L211" i="3"/>
  <c r="U211" i="3" l="1"/>
  <c r="Y210" i="3"/>
  <c r="T212" i="3"/>
  <c r="E212" i="3" l="1"/>
  <c r="H212" i="3" s="1"/>
  <c r="K212" i="3" s="1"/>
  <c r="AH212" i="3"/>
  <c r="AG212" i="3"/>
  <c r="D212" i="3"/>
  <c r="F212" i="3" l="1"/>
  <c r="G212" i="3"/>
  <c r="V212" i="3"/>
  <c r="A213" i="3"/>
  <c r="B213" i="3" s="1"/>
  <c r="AE212" i="3"/>
  <c r="AD213" i="3" l="1"/>
  <c r="AC213" i="3"/>
  <c r="P213" i="3"/>
  <c r="Q213" i="3" s="1"/>
  <c r="R213" i="3" s="1"/>
  <c r="S213" i="3" s="1"/>
  <c r="AA213" i="3"/>
  <c r="Z213" i="3"/>
  <c r="I212" i="3"/>
  <c r="W212" i="3" s="1"/>
  <c r="J212" i="3"/>
  <c r="M212" i="3"/>
  <c r="N212" i="3" s="1"/>
  <c r="T213" i="3" l="1"/>
  <c r="L212" i="3"/>
  <c r="U212" i="3" l="1"/>
  <c r="E213" i="3" s="1"/>
  <c r="H213" i="3" s="1"/>
  <c r="AH213" i="3"/>
  <c r="AG213" i="3"/>
  <c r="Y211" i="3"/>
  <c r="D213" i="3" l="1"/>
  <c r="G213" i="3" s="1"/>
  <c r="K213" i="3"/>
  <c r="F213" i="3" l="1"/>
  <c r="I213" i="3"/>
  <c r="J213" i="3"/>
  <c r="M213" i="3"/>
  <c r="N213" i="3" s="1"/>
  <c r="V213" i="3"/>
  <c r="A214" i="3"/>
  <c r="B214" i="3" s="1"/>
  <c r="AE213" i="3"/>
  <c r="W213" i="3" l="1"/>
  <c r="L213" i="3"/>
  <c r="P214" i="3"/>
  <c r="Q214" i="3" s="1"/>
  <c r="R214" i="3" s="1"/>
  <c r="S214" i="3" s="1"/>
  <c r="AC214" i="3"/>
  <c r="AA214" i="3"/>
  <c r="Z214" i="3"/>
  <c r="U213" i="3" l="1"/>
  <c r="Y212" i="3"/>
  <c r="T214" i="3"/>
  <c r="D214" i="3" l="1"/>
  <c r="G214" i="3" s="1"/>
  <c r="E214" i="3"/>
  <c r="H214" i="3" s="1"/>
  <c r="AG214" i="3"/>
  <c r="AH214" i="3"/>
  <c r="F214" i="3" l="1"/>
  <c r="I214" i="3"/>
  <c r="J214" i="3"/>
  <c r="M214" i="3"/>
  <c r="N214" i="3" s="1"/>
  <c r="K214" i="3"/>
  <c r="AE214" i="3" s="1"/>
  <c r="V214" i="3" l="1"/>
  <c r="W214" i="3" s="1"/>
  <c r="A215" i="3"/>
  <c r="B215" i="3" s="1"/>
  <c r="L214" i="3"/>
  <c r="AD214" i="3"/>
  <c r="U214" i="3" l="1"/>
  <c r="Y213" i="3"/>
  <c r="AC215" i="3"/>
  <c r="AD215" i="3"/>
  <c r="Z215" i="3"/>
  <c r="P215" i="3"/>
  <c r="Q215" i="3" s="1"/>
  <c r="R215" i="3" s="1"/>
  <c r="S215" i="3" s="1"/>
  <c r="AA215" i="3"/>
  <c r="T215" i="3" l="1"/>
  <c r="AH215" i="3" s="1"/>
  <c r="D215" i="3" l="1"/>
  <c r="G215" i="3" s="1"/>
  <c r="E215" i="3"/>
  <c r="H215" i="3" s="1"/>
  <c r="K215" i="3" s="1"/>
  <c r="AE215" i="3" s="1"/>
  <c r="AG215" i="3"/>
  <c r="F215" i="3" l="1"/>
  <c r="V215" i="3"/>
  <c r="A216" i="3"/>
  <c r="B216" i="3" s="1"/>
  <c r="I215" i="3"/>
  <c r="J215" i="3"/>
  <c r="M215" i="3"/>
  <c r="N215" i="3" s="1"/>
  <c r="W215" i="3" l="1"/>
  <c r="L215" i="3"/>
  <c r="P216" i="3"/>
  <c r="Q216" i="3" s="1"/>
  <c r="R216" i="3" s="1"/>
  <c r="S216" i="3" s="1"/>
  <c r="Z216" i="3"/>
  <c r="AC216" i="3"/>
  <c r="AD216" i="3"/>
  <c r="AA216" i="3"/>
  <c r="U215" i="3" l="1"/>
  <c r="Y214" i="3"/>
  <c r="T216" i="3"/>
  <c r="AH216" i="3" s="1"/>
  <c r="D216" i="3" l="1"/>
  <c r="G216" i="3" s="1"/>
  <c r="AG216" i="3"/>
  <c r="E216" i="3"/>
  <c r="H216" i="3" s="1"/>
  <c r="K216" i="3" l="1"/>
  <c r="AE216" i="3" s="1"/>
  <c r="I216" i="3"/>
  <c r="J216" i="3"/>
  <c r="M216" i="3"/>
  <c r="N216" i="3" s="1"/>
  <c r="F216" i="3"/>
  <c r="V216" i="3" l="1"/>
  <c r="W216" i="3" s="1"/>
  <c r="A217" i="3"/>
  <c r="B217" i="3" s="1"/>
  <c r="L216" i="3"/>
  <c r="U216" i="3" l="1"/>
  <c r="Y215" i="3"/>
  <c r="P217" i="3"/>
  <c r="Q217" i="3" s="1"/>
  <c r="R217" i="3" s="1"/>
  <c r="S217" i="3" s="1"/>
  <c r="AC217" i="3"/>
  <c r="AA217" i="3"/>
  <c r="Z217" i="3"/>
  <c r="AD217" i="3"/>
  <c r="T217" i="3" l="1"/>
  <c r="D217" i="3" s="1"/>
  <c r="G217" i="3" l="1"/>
  <c r="AG217" i="3"/>
  <c r="AH217" i="3"/>
  <c r="E217" i="3"/>
  <c r="H217" i="3" s="1"/>
  <c r="I217" i="3" l="1"/>
  <c r="J217" i="3"/>
  <c r="M217" i="3"/>
  <c r="N217" i="3" s="1"/>
  <c r="K217" i="3"/>
  <c r="AE217" i="3" s="1"/>
  <c r="F217" i="3"/>
  <c r="V217" i="3" l="1"/>
  <c r="W217" i="3" s="1"/>
  <c r="A218" i="3"/>
  <c r="B218" i="3" s="1"/>
  <c r="L217" i="3"/>
  <c r="U217" i="3" l="1"/>
  <c r="Y216" i="3"/>
  <c r="AC218" i="3"/>
  <c r="AA218" i="3"/>
  <c r="Z218" i="3"/>
  <c r="P218" i="3"/>
  <c r="Q218" i="3" s="1"/>
  <c r="R218" i="3" s="1"/>
  <c r="S218" i="3" s="1"/>
  <c r="AD218" i="3"/>
  <c r="T218" i="3" l="1"/>
  <c r="AG218" i="3" s="1"/>
  <c r="AH218" i="3" l="1"/>
  <c r="E218" i="3"/>
  <c r="H218" i="3" s="1"/>
  <c r="K218" i="3" s="1"/>
  <c r="AE218" i="3" s="1"/>
  <c r="D218" i="3"/>
  <c r="G218" i="3" s="1"/>
  <c r="F218" i="3" l="1"/>
  <c r="I218" i="3"/>
  <c r="J218" i="3"/>
  <c r="M218" i="3"/>
  <c r="N218" i="3" s="1"/>
  <c r="V218" i="3"/>
  <c r="A219" i="3"/>
  <c r="B219" i="3" s="1"/>
  <c r="W218" i="3" l="1"/>
  <c r="L218" i="3"/>
  <c r="P219" i="3"/>
  <c r="Q219" i="3" s="1"/>
  <c r="R219" i="3" s="1"/>
  <c r="S219" i="3" s="1"/>
  <c r="AD219" i="3"/>
  <c r="AC219" i="3"/>
  <c r="AA219" i="3"/>
  <c r="Z219" i="3"/>
  <c r="U218" i="3" l="1"/>
  <c r="Y217" i="3"/>
  <c r="T219" i="3"/>
  <c r="AG219" i="3" s="1"/>
  <c r="D219" i="3" l="1"/>
  <c r="E219" i="3"/>
  <c r="H219" i="3" s="1"/>
  <c r="AH219" i="3"/>
  <c r="F219" i="3" l="1"/>
  <c r="G219" i="3"/>
  <c r="K219" i="3"/>
  <c r="AE219" i="3" s="1"/>
  <c r="I219" i="3" l="1"/>
  <c r="J219" i="3"/>
  <c r="M219" i="3"/>
  <c r="N219" i="3" s="1"/>
  <c r="V219" i="3"/>
  <c r="A220" i="3"/>
  <c r="B220" i="3" s="1"/>
  <c r="W219" i="3" l="1"/>
  <c r="L219" i="3"/>
  <c r="AC220" i="3"/>
  <c r="AD220" i="3"/>
  <c r="Z220" i="3"/>
  <c r="P220" i="3"/>
  <c r="Q220" i="3" s="1"/>
  <c r="R220" i="3" s="1"/>
  <c r="S220" i="3" s="1"/>
  <c r="AA220" i="3"/>
  <c r="U219" i="3" l="1"/>
  <c r="Y218" i="3"/>
  <c r="T220" i="3"/>
  <c r="E220" i="3" l="1"/>
  <c r="H220" i="3" s="1"/>
  <c r="K220" i="3" s="1"/>
  <c r="AE220" i="3" s="1"/>
  <c r="D220" i="3"/>
  <c r="G220" i="3" s="1"/>
  <c r="AG220" i="3"/>
  <c r="AH220" i="3"/>
  <c r="F220" i="3" l="1"/>
  <c r="I220" i="3"/>
  <c r="J220" i="3"/>
  <c r="M220" i="3"/>
  <c r="N220" i="3" s="1"/>
  <c r="V220" i="3"/>
  <c r="A221" i="3"/>
  <c r="B221" i="3" s="1"/>
  <c r="W220" i="3" l="1"/>
  <c r="L220" i="3"/>
  <c r="AA221" i="3"/>
  <c r="AC221" i="3"/>
  <c r="AD221" i="3"/>
  <c r="P221" i="3"/>
  <c r="Q221" i="3" s="1"/>
  <c r="R221" i="3" s="1"/>
  <c r="S221" i="3" s="1"/>
  <c r="Z221" i="3"/>
  <c r="T221" i="3" l="1"/>
  <c r="U220" i="3"/>
  <c r="Y219" i="3"/>
  <c r="D221" i="3" l="1"/>
  <c r="G221" i="3" s="1"/>
  <c r="AH221" i="3"/>
  <c r="AG221" i="3"/>
  <c r="E221" i="3"/>
  <c r="H221" i="3" s="1"/>
  <c r="K221" i="3" l="1"/>
  <c r="AE221" i="3" s="1"/>
  <c r="I221" i="3"/>
  <c r="J221" i="3"/>
  <c r="M221" i="3"/>
  <c r="N221" i="3" s="1"/>
  <c r="F221" i="3"/>
  <c r="L221" i="3" l="1"/>
  <c r="V221" i="3"/>
  <c r="W221" i="3" s="1"/>
  <c r="A222" i="3"/>
  <c r="B222" i="3" s="1"/>
  <c r="P222" i="3" l="1"/>
  <c r="Q222" i="3" s="1"/>
  <c r="R222" i="3" s="1"/>
  <c r="S222" i="3" s="1"/>
  <c r="AC222" i="3"/>
  <c r="Z222" i="3"/>
  <c r="AA222" i="3"/>
  <c r="AD222" i="3"/>
  <c r="U221" i="3"/>
  <c r="Y220" i="3"/>
  <c r="T222" i="3" l="1"/>
  <c r="AH222" i="3" s="1"/>
  <c r="E222" i="3" l="1"/>
  <c r="H222" i="3" s="1"/>
  <c r="AG222" i="3"/>
  <c r="D222" i="3"/>
  <c r="F222" i="3" l="1"/>
  <c r="G222" i="3"/>
  <c r="K222" i="3"/>
  <c r="AE222" i="3" s="1"/>
  <c r="I222" i="3" l="1"/>
  <c r="J222" i="3"/>
  <c r="M222" i="3"/>
  <c r="N222" i="3" s="1"/>
  <c r="V222" i="3"/>
  <c r="A223" i="3"/>
  <c r="B223" i="3" s="1"/>
  <c r="W222" i="3" l="1"/>
  <c r="L222" i="3"/>
  <c r="P223" i="3"/>
  <c r="Q223" i="3" s="1"/>
  <c r="R223" i="3" s="1"/>
  <c r="S223" i="3" s="1"/>
  <c r="Z223" i="3"/>
  <c r="AC223" i="3"/>
  <c r="AD223" i="3"/>
  <c r="AA223" i="3"/>
  <c r="U222" i="3" l="1"/>
  <c r="Y221" i="3"/>
  <c r="T223" i="3"/>
  <c r="D223" i="3" l="1"/>
  <c r="G223" i="3" s="1"/>
  <c r="AG223" i="3"/>
  <c r="AH223" i="3"/>
  <c r="E223" i="3"/>
  <c r="H223" i="3" s="1"/>
  <c r="K223" i="3" s="1"/>
  <c r="AE223" i="3" s="1"/>
  <c r="F223" i="3" l="1"/>
  <c r="I223" i="3"/>
  <c r="J223" i="3"/>
  <c r="M223" i="3"/>
  <c r="N223" i="3" s="1"/>
  <c r="V223" i="3"/>
  <c r="A224" i="3"/>
  <c r="B224" i="3" s="1"/>
  <c r="W223" i="3" l="1"/>
  <c r="L223" i="3"/>
  <c r="Z224" i="3"/>
  <c r="P224" i="3"/>
  <c r="Q224" i="3" s="1"/>
  <c r="R224" i="3" s="1"/>
  <c r="S224" i="3" s="1"/>
  <c r="AC224" i="3"/>
  <c r="AA224" i="3"/>
  <c r="U223" i="3" l="1"/>
  <c r="Y222" i="3"/>
  <c r="T224" i="3"/>
  <c r="D224" i="3" l="1"/>
  <c r="G224" i="3" s="1"/>
  <c r="AG224" i="3"/>
  <c r="AH224" i="3"/>
  <c r="E224" i="3"/>
  <c r="H224" i="3" s="1"/>
  <c r="K224" i="3" s="1"/>
  <c r="AE224" i="3" s="1"/>
  <c r="F224" i="3" l="1"/>
  <c r="I224" i="3"/>
  <c r="J224" i="3"/>
  <c r="M224" i="3"/>
  <c r="N224" i="3" s="1"/>
  <c r="V224" i="3"/>
  <c r="A225" i="3"/>
  <c r="B225" i="3" s="1"/>
  <c r="W224" i="3" l="1"/>
  <c r="L224" i="3"/>
  <c r="AD224" i="3"/>
  <c r="AC225" i="3"/>
  <c r="P225" i="3"/>
  <c r="Q225" i="3" s="1"/>
  <c r="R225" i="3" s="1"/>
  <c r="S225" i="3" s="1"/>
  <c r="AA225" i="3"/>
  <c r="AD225" i="3"/>
  <c r="Z225" i="3"/>
  <c r="U224" i="3" l="1"/>
  <c r="Y223" i="3"/>
  <c r="T225" i="3"/>
  <c r="AG225" i="3" s="1"/>
  <c r="AH225" i="3" l="1"/>
  <c r="E225" i="3"/>
  <c r="H225" i="3" s="1"/>
  <c r="D225" i="3"/>
  <c r="K225" i="3" l="1"/>
  <c r="AE225" i="3" s="1"/>
  <c r="F225" i="3"/>
  <c r="G225" i="3"/>
  <c r="I225" i="3" l="1"/>
  <c r="J225" i="3"/>
  <c r="M225" i="3"/>
  <c r="N225" i="3" s="1"/>
  <c r="V225" i="3"/>
  <c r="A226" i="3"/>
  <c r="B226" i="3" s="1"/>
  <c r="W225" i="3" l="1"/>
  <c r="L225" i="3"/>
  <c r="AD226" i="3"/>
  <c r="Z226" i="3"/>
  <c r="AA226" i="3"/>
  <c r="P226" i="3"/>
  <c r="Q226" i="3" s="1"/>
  <c r="R226" i="3" s="1"/>
  <c r="S226" i="3" s="1"/>
  <c r="AC226" i="3"/>
  <c r="U225" i="3" l="1"/>
  <c r="Y224" i="3"/>
  <c r="T226" i="3"/>
  <c r="D226" i="3" l="1"/>
  <c r="G226" i="3" s="1"/>
  <c r="AH226" i="3"/>
  <c r="AG226" i="3"/>
  <c r="E226" i="3"/>
  <c r="H226" i="3" s="1"/>
  <c r="F226" i="3" l="1"/>
  <c r="I226" i="3"/>
  <c r="J226" i="3"/>
  <c r="M226" i="3"/>
  <c r="N226" i="3" s="1"/>
  <c r="K226" i="3"/>
  <c r="AE226" i="3" s="1"/>
  <c r="V226" i="3" l="1"/>
  <c r="W226" i="3" s="1"/>
  <c r="A227" i="3"/>
  <c r="B227" i="3" s="1"/>
  <c r="L226" i="3"/>
  <c r="U226" i="3" l="1"/>
  <c r="Y225" i="3"/>
  <c r="P227" i="3"/>
  <c r="Q227" i="3" s="1"/>
  <c r="R227" i="3" s="1"/>
  <c r="S227" i="3" s="1"/>
  <c r="AA227" i="3"/>
  <c r="Z227" i="3"/>
  <c r="AD227" i="3"/>
  <c r="AC227" i="3"/>
  <c r="T227" i="3" l="1"/>
  <c r="D227" i="3" s="1"/>
  <c r="E227" i="3" l="1"/>
  <c r="H227" i="3" s="1"/>
  <c r="K227" i="3" s="1"/>
  <c r="AE227" i="3" s="1"/>
  <c r="AH227" i="3"/>
  <c r="AG227" i="3"/>
  <c r="G227" i="3"/>
  <c r="F227" i="3" l="1"/>
  <c r="V227" i="3"/>
  <c r="A228" i="3"/>
  <c r="B228" i="3" s="1"/>
  <c r="I227" i="3"/>
  <c r="J227" i="3"/>
  <c r="M227" i="3"/>
  <c r="N227" i="3" s="1"/>
  <c r="L227" i="3" l="1"/>
  <c r="W227" i="3"/>
  <c r="AD228" i="3"/>
  <c r="AA228" i="3"/>
  <c r="Z228" i="3"/>
  <c r="P228" i="3"/>
  <c r="Q228" i="3" s="1"/>
  <c r="R228" i="3" s="1"/>
  <c r="S228" i="3" s="1"/>
  <c r="AC228" i="3"/>
  <c r="T228" i="3" l="1"/>
  <c r="AG228" i="3" s="1"/>
  <c r="U227" i="3"/>
  <c r="Y226" i="3"/>
  <c r="AH228" i="3" l="1"/>
  <c r="E228" i="3"/>
  <c r="H228" i="3" s="1"/>
  <c r="D228" i="3"/>
  <c r="K228" i="3" l="1"/>
  <c r="AE228" i="3" s="1"/>
  <c r="F228" i="3"/>
  <c r="G228" i="3"/>
  <c r="V228" i="3" l="1"/>
  <c r="A229" i="3"/>
  <c r="B229" i="3" s="1"/>
  <c r="I228" i="3"/>
  <c r="J228" i="3"/>
  <c r="M228" i="3"/>
  <c r="N228" i="3" s="1"/>
  <c r="W228" i="3" l="1"/>
  <c r="L228" i="3"/>
  <c r="AA229" i="3"/>
  <c r="AD229" i="3"/>
  <c r="AC229" i="3"/>
  <c r="P229" i="3"/>
  <c r="Q229" i="3" s="1"/>
  <c r="R229" i="3" s="1"/>
  <c r="S229" i="3" s="1"/>
  <c r="Z229" i="3"/>
  <c r="U228" i="3" l="1"/>
  <c r="Y227" i="3"/>
  <c r="T229" i="3"/>
  <c r="AH229" i="3" s="1"/>
  <c r="D229" i="3" l="1"/>
  <c r="E229" i="3"/>
  <c r="H229" i="3" s="1"/>
  <c r="AG229" i="3"/>
  <c r="K229" i="3" l="1"/>
  <c r="AE229" i="3" s="1"/>
  <c r="F229" i="3"/>
  <c r="G229" i="3"/>
  <c r="V229" i="3" l="1"/>
  <c r="A230" i="3"/>
  <c r="B230" i="3" s="1"/>
  <c r="I229" i="3"/>
  <c r="J229" i="3"/>
  <c r="M229" i="3"/>
  <c r="N229" i="3" s="1"/>
  <c r="L229" i="3" l="1"/>
  <c r="W229" i="3"/>
  <c r="P230" i="3"/>
  <c r="Q230" i="3" s="1"/>
  <c r="R230" i="3" s="1"/>
  <c r="S230" i="3" s="1"/>
  <c r="AA230" i="3"/>
  <c r="AC230" i="3"/>
  <c r="AD230" i="3"/>
  <c r="Z230" i="3"/>
  <c r="U229" i="3" l="1"/>
  <c r="Y228" i="3"/>
  <c r="T230" i="3"/>
  <c r="AH230" i="3" s="1"/>
  <c r="AG230" i="3" l="1"/>
  <c r="D230" i="3"/>
  <c r="E230" i="3"/>
  <c r="H230" i="3" s="1"/>
  <c r="K230" i="3" l="1"/>
  <c r="AE230" i="3" s="1"/>
  <c r="F230" i="3"/>
  <c r="G230" i="3"/>
  <c r="I230" i="3" l="1"/>
  <c r="J230" i="3"/>
  <c r="M230" i="3"/>
  <c r="N230" i="3" s="1"/>
  <c r="V230" i="3"/>
  <c r="A231" i="3"/>
  <c r="B231" i="3" s="1"/>
  <c r="W230" i="3" l="1"/>
  <c r="L230" i="3"/>
  <c r="AD231" i="3"/>
  <c r="P231" i="3"/>
  <c r="Q231" i="3" s="1"/>
  <c r="R231" i="3" s="1"/>
  <c r="S231" i="3" s="1"/>
  <c r="AA231" i="3"/>
  <c r="Z231" i="3"/>
  <c r="AC231" i="3"/>
  <c r="T231" i="3" l="1"/>
  <c r="U230" i="3"/>
  <c r="Y229" i="3"/>
  <c r="D231" i="3" l="1"/>
  <c r="G231" i="3" s="1"/>
  <c r="E231" i="3"/>
  <c r="H231" i="3" s="1"/>
  <c r="K231" i="3" s="1"/>
  <c r="AE231" i="3" s="1"/>
  <c r="AG231" i="3"/>
  <c r="AH231" i="3"/>
  <c r="F231" i="3" l="1"/>
  <c r="V231" i="3"/>
  <c r="A232" i="3"/>
  <c r="B232" i="3" s="1"/>
  <c r="I231" i="3"/>
  <c r="J231" i="3"/>
  <c r="M231" i="3"/>
  <c r="N231" i="3" s="1"/>
  <c r="L231" i="3" l="1"/>
  <c r="W231" i="3"/>
  <c r="P232" i="3"/>
  <c r="Q232" i="3" s="1"/>
  <c r="R232" i="3" s="1"/>
  <c r="S232" i="3" s="1"/>
  <c r="AD232" i="3"/>
  <c r="Z232" i="3"/>
  <c r="AA232" i="3"/>
  <c r="AC232" i="3"/>
  <c r="U231" i="3" l="1"/>
  <c r="Y230" i="3"/>
  <c r="T232" i="3"/>
  <c r="D232" i="3" l="1"/>
  <c r="G232" i="3" s="1"/>
  <c r="AG232" i="3"/>
  <c r="E232" i="3"/>
  <c r="H232" i="3" s="1"/>
  <c r="AH232" i="3"/>
  <c r="F232" i="3" l="1"/>
  <c r="I232" i="3"/>
  <c r="J232" i="3"/>
  <c r="M232" i="3"/>
  <c r="N232" i="3" s="1"/>
  <c r="K232" i="3"/>
  <c r="AE232" i="3" s="1"/>
  <c r="V232" i="3" l="1"/>
  <c r="W232" i="3" s="1"/>
  <c r="A233" i="3"/>
  <c r="B233" i="3" s="1"/>
  <c r="L232" i="3"/>
  <c r="U232" i="3" l="1"/>
  <c r="Y231" i="3"/>
  <c r="AA233" i="3"/>
  <c r="AD233" i="3"/>
  <c r="AC233" i="3"/>
  <c r="P233" i="3"/>
  <c r="Q233" i="3" s="1"/>
  <c r="R233" i="3" s="1"/>
  <c r="S233" i="3" s="1"/>
  <c r="Z233" i="3"/>
  <c r="T233" i="3" l="1"/>
  <c r="D233" i="3" s="1"/>
  <c r="AG233" i="3" l="1"/>
  <c r="AH233" i="3"/>
  <c r="E233" i="3"/>
  <c r="H233" i="3" s="1"/>
  <c r="K233" i="3" s="1"/>
  <c r="AE233" i="3" s="1"/>
  <c r="G233" i="3"/>
  <c r="F233" i="3" l="1"/>
  <c r="I233" i="3"/>
  <c r="J233" i="3"/>
  <c r="M233" i="3"/>
  <c r="N233" i="3" s="1"/>
  <c r="V233" i="3"/>
  <c r="A234" i="3"/>
  <c r="B234" i="3" s="1"/>
  <c r="W233" i="3" l="1"/>
  <c r="L233" i="3"/>
  <c r="Z234" i="3"/>
  <c r="P234" i="3"/>
  <c r="Q234" i="3" s="1"/>
  <c r="R234" i="3" s="1"/>
  <c r="S234" i="3" s="1"/>
  <c r="AC234" i="3"/>
  <c r="AA234" i="3"/>
  <c r="U233" i="3" l="1"/>
  <c r="Y232" i="3"/>
  <c r="T234" i="3"/>
  <c r="E234" i="3" l="1"/>
  <c r="H234" i="3" s="1"/>
  <c r="K234" i="3" s="1"/>
  <c r="AE234" i="3" s="1"/>
  <c r="AG234" i="3"/>
  <c r="AH234" i="3"/>
  <c r="D234" i="3"/>
  <c r="G234" i="3" s="1"/>
  <c r="F234" i="3" l="1"/>
  <c r="I234" i="3"/>
  <c r="J234" i="3"/>
  <c r="M234" i="3"/>
  <c r="N234" i="3" s="1"/>
  <c r="V234" i="3"/>
  <c r="A235" i="3"/>
  <c r="B235" i="3" s="1"/>
  <c r="L234" i="3" l="1"/>
  <c r="AD234" i="3"/>
  <c r="W234" i="3"/>
  <c r="AC235" i="3"/>
  <c r="AA235" i="3"/>
  <c r="Z235" i="3"/>
  <c r="P235" i="3"/>
  <c r="Q235" i="3" s="1"/>
  <c r="R235" i="3" s="1"/>
  <c r="S235" i="3" s="1"/>
  <c r="AD235" i="3"/>
  <c r="U234" i="3" l="1"/>
  <c r="Y233" i="3"/>
  <c r="T235" i="3"/>
  <c r="E235" i="3" l="1"/>
  <c r="H235" i="3" s="1"/>
  <c r="K235" i="3" s="1"/>
  <c r="AE235" i="3" s="1"/>
  <c r="AG235" i="3"/>
  <c r="D235" i="3"/>
  <c r="AH235" i="3"/>
  <c r="F235" i="3" l="1"/>
  <c r="G235" i="3"/>
  <c r="V235" i="3"/>
  <c r="A236" i="3"/>
  <c r="B236" i="3" s="1"/>
  <c r="AD236" i="3" l="1"/>
  <c r="P236" i="3"/>
  <c r="Q236" i="3" s="1"/>
  <c r="R236" i="3" s="1"/>
  <c r="S236" i="3" s="1"/>
  <c r="AA236" i="3"/>
  <c r="Z236" i="3"/>
  <c r="AC236" i="3"/>
  <c r="I235" i="3"/>
  <c r="W235" i="3" s="1"/>
  <c r="J235" i="3"/>
  <c r="M235" i="3"/>
  <c r="N235" i="3" s="1"/>
  <c r="T236" i="3" l="1"/>
  <c r="L235" i="3"/>
  <c r="U235" i="3" l="1"/>
  <c r="D236" i="3" s="1"/>
  <c r="AH236" i="3"/>
  <c r="AG236" i="3"/>
  <c r="Y234" i="3"/>
  <c r="E236" i="3" l="1"/>
  <c r="H236" i="3" s="1"/>
  <c r="K236" i="3" s="1"/>
  <c r="AE236" i="3" s="1"/>
  <c r="G236" i="3"/>
  <c r="F236" i="3" l="1"/>
  <c r="I236" i="3"/>
  <c r="J236" i="3"/>
  <c r="M236" i="3"/>
  <c r="N236" i="3" s="1"/>
  <c r="V236" i="3"/>
  <c r="A237" i="3"/>
  <c r="B237" i="3" s="1"/>
  <c r="W236" i="3" l="1"/>
  <c r="L236" i="3"/>
  <c r="P237" i="3"/>
  <c r="Q237" i="3" s="1"/>
  <c r="R237" i="3" s="1"/>
  <c r="S237" i="3" s="1"/>
  <c r="AA237" i="3"/>
  <c r="Z237" i="3"/>
  <c r="AD237" i="3"/>
  <c r="AC237" i="3"/>
  <c r="U236" i="3" l="1"/>
  <c r="Y235" i="3"/>
  <c r="T237" i="3"/>
  <c r="AH237" i="3" s="1"/>
  <c r="E237" i="3" l="1"/>
  <c r="H237" i="3" s="1"/>
  <c r="K237" i="3" s="1"/>
  <c r="AE237" i="3" s="1"/>
  <c r="AG237" i="3"/>
  <c r="D237" i="3"/>
  <c r="F237" i="3" l="1"/>
  <c r="G237" i="3"/>
  <c r="M237" i="3" s="1"/>
  <c r="N237" i="3" s="1"/>
  <c r="V237" i="3"/>
  <c r="A238" i="3"/>
  <c r="B238" i="3" s="1"/>
  <c r="I237" i="3" l="1"/>
  <c r="W237" i="3" s="1"/>
  <c r="J237" i="3"/>
  <c r="L237" i="3" s="1"/>
  <c r="P238" i="3"/>
  <c r="Q238" i="3" s="1"/>
  <c r="R238" i="3" s="1"/>
  <c r="S238" i="3" s="1"/>
  <c r="Z238" i="3"/>
  <c r="AC238" i="3"/>
  <c r="AA238" i="3"/>
  <c r="AD238" i="3"/>
  <c r="T238" i="3" l="1"/>
  <c r="AG238" i="3" s="1"/>
  <c r="U237" i="3"/>
  <c r="Y236" i="3"/>
  <c r="AH238" i="3" l="1"/>
  <c r="E238" i="3"/>
  <c r="H238" i="3" s="1"/>
  <c r="K238" i="3" s="1"/>
  <c r="AE238" i="3" s="1"/>
  <c r="D238" i="3"/>
  <c r="F238" i="3" l="1"/>
  <c r="G238" i="3"/>
  <c r="M238" i="3" s="1"/>
  <c r="N238" i="3" s="1"/>
  <c r="V238" i="3"/>
  <c r="A239" i="3"/>
  <c r="B239" i="3" s="1"/>
  <c r="I238" i="3" l="1"/>
  <c r="W238" i="3" s="1"/>
  <c r="J238" i="3"/>
  <c r="L238" i="3" s="1"/>
  <c r="AD239" i="3"/>
  <c r="P239" i="3"/>
  <c r="Q239" i="3" s="1"/>
  <c r="R239" i="3" s="1"/>
  <c r="S239" i="3" s="1"/>
  <c r="AC239" i="3"/>
  <c r="Z239" i="3"/>
  <c r="AA239" i="3"/>
  <c r="T239" i="3" l="1"/>
  <c r="U238" i="3"/>
  <c r="Y237" i="3"/>
  <c r="D239" i="3" l="1"/>
  <c r="G239" i="3" s="1"/>
  <c r="E239" i="3"/>
  <c r="H239" i="3" s="1"/>
  <c r="K239" i="3" s="1"/>
  <c r="AE239" i="3" s="1"/>
  <c r="AG239" i="3"/>
  <c r="AH239" i="3"/>
  <c r="F239" i="3" l="1"/>
  <c r="I239" i="3"/>
  <c r="J239" i="3"/>
  <c r="M239" i="3"/>
  <c r="N239" i="3" s="1"/>
  <c r="V239" i="3"/>
  <c r="A240" i="3"/>
  <c r="B240" i="3" s="1"/>
  <c r="W239" i="3" l="1"/>
  <c r="L239" i="3"/>
  <c r="Z240" i="3"/>
  <c r="P240" i="3"/>
  <c r="Q240" i="3" s="1"/>
  <c r="R240" i="3" s="1"/>
  <c r="S240" i="3" s="1"/>
  <c r="AD240" i="3"/>
  <c r="AA240" i="3"/>
  <c r="AC240" i="3"/>
  <c r="U239" i="3" l="1"/>
  <c r="Y238" i="3"/>
  <c r="T240" i="3"/>
  <c r="E240" i="3" l="1"/>
  <c r="H240" i="3" s="1"/>
  <c r="K240" i="3" s="1"/>
  <c r="AE240" i="3" s="1"/>
  <c r="D240" i="3"/>
  <c r="AG240" i="3"/>
  <c r="AH240" i="3"/>
  <c r="V240" i="3" l="1"/>
  <c r="A241" i="3"/>
  <c r="B241" i="3" s="1"/>
  <c r="F240" i="3"/>
  <c r="G240" i="3"/>
  <c r="I240" i="3" l="1"/>
  <c r="W240" i="3" s="1"/>
  <c r="J240" i="3"/>
  <c r="M240" i="3"/>
  <c r="N240" i="3" s="1"/>
  <c r="Z241" i="3"/>
  <c r="AD241" i="3"/>
  <c r="AC241" i="3"/>
  <c r="P241" i="3"/>
  <c r="Q241" i="3" s="1"/>
  <c r="R241" i="3" s="1"/>
  <c r="S241" i="3" s="1"/>
  <c r="AA241" i="3"/>
  <c r="T241" i="3" l="1"/>
  <c r="L240" i="3"/>
  <c r="AG241" i="3" l="1"/>
  <c r="AH241" i="3"/>
  <c r="U240" i="3"/>
  <c r="D241" i="3" s="1"/>
  <c r="Y239" i="3"/>
  <c r="G241" i="3" l="1"/>
  <c r="E241" i="3"/>
  <c r="H241" i="3" s="1"/>
  <c r="F241" i="3" l="1"/>
  <c r="I241" i="3"/>
  <c r="J241" i="3"/>
  <c r="M241" i="3"/>
  <c r="N241" i="3" s="1"/>
  <c r="K241" i="3"/>
  <c r="AE241" i="3" s="1"/>
  <c r="V241" i="3" l="1"/>
  <c r="W241" i="3" s="1"/>
  <c r="A242" i="3"/>
  <c r="B242" i="3" s="1"/>
  <c r="L241" i="3"/>
  <c r="U241" i="3" l="1"/>
  <c r="Y240" i="3"/>
  <c r="Z242" i="3"/>
  <c r="AA242" i="3"/>
  <c r="P242" i="3"/>
  <c r="Q242" i="3" s="1"/>
  <c r="R242" i="3" s="1"/>
  <c r="S242" i="3" s="1"/>
  <c r="AD242" i="3"/>
  <c r="AC242" i="3"/>
  <c r="T242" i="3" l="1"/>
  <c r="D242" i="3" s="1"/>
  <c r="E242" i="3" l="1"/>
  <c r="H242" i="3" s="1"/>
  <c r="K242" i="3" s="1"/>
  <c r="AE242" i="3" s="1"/>
  <c r="G242" i="3"/>
  <c r="AH242" i="3"/>
  <c r="AG242" i="3"/>
  <c r="F242" i="3" l="1"/>
  <c r="I242" i="3"/>
  <c r="J242" i="3"/>
  <c r="M242" i="3"/>
  <c r="N242" i="3" s="1"/>
  <c r="V242" i="3"/>
  <c r="A243" i="3"/>
  <c r="B243" i="3" s="1"/>
  <c r="W242" i="3" l="1"/>
  <c r="L242" i="3"/>
  <c r="AA243" i="3"/>
  <c r="AC243" i="3"/>
  <c r="Z243" i="3"/>
  <c r="P243" i="3"/>
  <c r="Q243" i="3" s="1"/>
  <c r="R243" i="3" s="1"/>
  <c r="S243" i="3" s="1"/>
  <c r="AD243" i="3"/>
  <c r="U242" i="3" l="1"/>
  <c r="Y241" i="3"/>
  <c r="T243" i="3"/>
  <c r="AH243" i="3" s="1"/>
  <c r="D243" i="3" l="1"/>
  <c r="G243" i="3" s="1"/>
  <c r="E243" i="3"/>
  <c r="H243" i="3" s="1"/>
  <c r="K243" i="3" s="1"/>
  <c r="AE243" i="3" s="1"/>
  <c r="AG243" i="3"/>
  <c r="F243" i="3" l="1"/>
  <c r="I243" i="3"/>
  <c r="J243" i="3"/>
  <c r="M243" i="3"/>
  <c r="N243" i="3" s="1"/>
  <c r="V243" i="3"/>
  <c r="A244" i="3"/>
  <c r="B244" i="3" s="1"/>
  <c r="W243" i="3" l="1"/>
  <c r="L243" i="3"/>
  <c r="AA244" i="3"/>
  <c r="P244" i="3"/>
  <c r="Q244" i="3" s="1"/>
  <c r="R244" i="3" s="1"/>
  <c r="S244" i="3" s="1"/>
  <c r="Z244" i="3"/>
  <c r="AC244" i="3"/>
  <c r="U243" i="3" l="1"/>
  <c r="Y242" i="3"/>
  <c r="T244" i="3"/>
  <c r="D244" i="3" l="1"/>
  <c r="G244" i="3" s="1"/>
  <c r="E244" i="3"/>
  <c r="H244" i="3" s="1"/>
  <c r="AG244" i="3"/>
  <c r="AH244" i="3"/>
  <c r="I244" i="3" l="1"/>
  <c r="J244" i="3"/>
  <c r="M244" i="3"/>
  <c r="N244" i="3" s="1"/>
  <c r="F244" i="3"/>
  <c r="K244" i="3"/>
  <c r="AE244" i="3" s="1"/>
  <c r="L244" i="3" l="1"/>
  <c r="AD244" i="3"/>
  <c r="V244" i="3"/>
  <c r="W244" i="3" s="1"/>
  <c r="A245" i="3"/>
  <c r="B245" i="3" s="1"/>
  <c r="U244" i="3" l="1"/>
  <c r="Y243" i="3"/>
  <c r="Z245" i="3"/>
  <c r="AD245" i="3"/>
  <c r="AA245" i="3"/>
  <c r="P245" i="3"/>
  <c r="Q245" i="3" s="1"/>
  <c r="R245" i="3" s="1"/>
  <c r="S245" i="3" s="1"/>
  <c r="AC245" i="3"/>
  <c r="T245" i="3" l="1"/>
  <c r="AG245" i="3" s="1"/>
  <c r="D245" i="3" l="1"/>
  <c r="G245" i="3" s="1"/>
  <c r="AH245" i="3"/>
  <c r="E245" i="3"/>
  <c r="H245" i="3" s="1"/>
  <c r="F245" i="3" l="1"/>
  <c r="I245" i="3"/>
  <c r="J245" i="3"/>
  <c r="M245" i="3"/>
  <c r="N245" i="3" s="1"/>
  <c r="K245" i="3"/>
  <c r="AE245" i="3" s="1"/>
  <c r="V245" i="3" l="1"/>
  <c r="W245" i="3" s="1"/>
  <c r="A246" i="3"/>
  <c r="B246" i="3" s="1"/>
  <c r="L245" i="3"/>
  <c r="U245" i="3" l="1"/>
  <c r="Y244" i="3"/>
  <c r="P246" i="3"/>
  <c r="Q246" i="3" s="1"/>
  <c r="R246" i="3" s="1"/>
  <c r="S246" i="3" s="1"/>
  <c r="AC246" i="3"/>
  <c r="Z246" i="3"/>
  <c r="AD246" i="3"/>
  <c r="AA246" i="3"/>
  <c r="T246" i="3" l="1"/>
  <c r="D246" i="3" s="1"/>
  <c r="E246" i="3" l="1"/>
  <c r="H246" i="3" s="1"/>
  <c r="K246" i="3" s="1"/>
  <c r="AE246" i="3" s="1"/>
  <c r="AG246" i="3"/>
  <c r="AH246" i="3"/>
  <c r="G246" i="3"/>
  <c r="F246" i="3" l="1"/>
  <c r="I246" i="3"/>
  <c r="J246" i="3"/>
  <c r="M246" i="3"/>
  <c r="N246" i="3" s="1"/>
  <c r="V246" i="3"/>
  <c r="A247" i="3"/>
  <c r="B247" i="3" s="1"/>
  <c r="W246" i="3" l="1"/>
  <c r="L246" i="3"/>
  <c r="P247" i="3"/>
  <c r="Q247" i="3" s="1"/>
  <c r="R247" i="3" s="1"/>
  <c r="S247" i="3" s="1"/>
  <c r="AA247" i="3"/>
  <c r="AC247" i="3"/>
  <c r="Z247" i="3"/>
  <c r="AD247" i="3"/>
  <c r="U246" i="3" l="1"/>
  <c r="Y245" i="3"/>
  <c r="T247" i="3"/>
  <c r="AG247" i="3" s="1"/>
  <c r="AH247" i="3" l="1"/>
  <c r="D247" i="3"/>
  <c r="E247" i="3"/>
  <c r="H247" i="3" s="1"/>
  <c r="K247" i="3" s="1"/>
  <c r="AE247" i="3" s="1"/>
  <c r="F247" i="3" l="1"/>
  <c r="G247" i="3"/>
  <c r="M247" i="3" s="1"/>
  <c r="N247" i="3" s="1"/>
  <c r="V247" i="3"/>
  <c r="A248" i="3"/>
  <c r="B248" i="3" s="1"/>
  <c r="I247" i="3" l="1"/>
  <c r="W247" i="3" s="1"/>
  <c r="J247" i="3"/>
  <c r="L247" i="3" s="1"/>
  <c r="Z248" i="3"/>
  <c r="P248" i="3"/>
  <c r="Q248" i="3" s="1"/>
  <c r="R248" i="3" s="1"/>
  <c r="S248" i="3" s="1"/>
  <c r="AA248" i="3"/>
  <c r="AC248" i="3"/>
  <c r="AD248" i="3"/>
  <c r="U247" i="3" l="1"/>
  <c r="Y246" i="3"/>
  <c r="T248" i="3"/>
  <c r="AG248" i="3" s="1"/>
  <c r="E248" i="3" l="1"/>
  <c r="H248" i="3" s="1"/>
  <c r="K248" i="3" s="1"/>
  <c r="AE248" i="3" s="1"/>
  <c r="AH248" i="3"/>
  <c r="D248" i="3"/>
  <c r="G248" i="3" s="1"/>
  <c r="F248" i="3" l="1"/>
  <c r="I248" i="3"/>
  <c r="J248" i="3"/>
  <c r="M248" i="3"/>
  <c r="N248" i="3" s="1"/>
  <c r="V248" i="3"/>
  <c r="A249" i="3"/>
  <c r="B249" i="3" s="1"/>
  <c r="W248" i="3" l="1"/>
  <c r="L248" i="3"/>
  <c r="AC249" i="3"/>
  <c r="P249" i="3"/>
  <c r="Q249" i="3" s="1"/>
  <c r="R249" i="3" s="1"/>
  <c r="S249" i="3" s="1"/>
  <c r="Z249" i="3"/>
  <c r="AD249" i="3"/>
  <c r="AA249" i="3"/>
  <c r="U248" i="3" l="1"/>
  <c r="Y247" i="3"/>
  <c r="T249" i="3"/>
  <c r="AG249" i="3" s="1"/>
  <c r="D249" i="3" l="1"/>
  <c r="G249" i="3" s="1"/>
  <c r="AH249" i="3"/>
  <c r="E249" i="3"/>
  <c r="H249" i="3" s="1"/>
  <c r="K249" i="3" s="1"/>
  <c r="AE249" i="3" s="1"/>
  <c r="F249" i="3" l="1"/>
  <c r="I249" i="3"/>
  <c r="J249" i="3"/>
  <c r="M249" i="3"/>
  <c r="N249" i="3" s="1"/>
  <c r="V249" i="3"/>
  <c r="A250" i="3"/>
  <c r="B250" i="3" s="1"/>
  <c r="W249" i="3" l="1"/>
  <c r="L249" i="3"/>
  <c r="AC250" i="3"/>
  <c r="AA250" i="3"/>
  <c r="P250" i="3"/>
  <c r="Q250" i="3" s="1"/>
  <c r="R250" i="3" s="1"/>
  <c r="S250" i="3" s="1"/>
  <c r="AD250" i="3"/>
  <c r="Z250" i="3"/>
  <c r="T250" i="3" l="1"/>
  <c r="AG250" i="3" s="1"/>
  <c r="U249" i="3"/>
  <c r="Y248" i="3"/>
  <c r="D250" i="3" l="1"/>
  <c r="E250" i="3"/>
  <c r="H250" i="3" s="1"/>
  <c r="AH250" i="3"/>
  <c r="F250" i="3" l="1"/>
  <c r="G250" i="3"/>
  <c r="K250" i="3"/>
  <c r="AE250" i="3" s="1"/>
  <c r="V250" i="3" l="1"/>
  <c r="A251" i="3"/>
  <c r="B251" i="3" s="1"/>
  <c r="I250" i="3"/>
  <c r="J250" i="3"/>
  <c r="M250" i="3"/>
  <c r="N250" i="3" s="1"/>
  <c r="W250" i="3" l="1"/>
  <c r="L250" i="3"/>
  <c r="P251" i="3"/>
  <c r="Q251" i="3" s="1"/>
  <c r="R251" i="3" s="1"/>
  <c r="S251" i="3" s="1"/>
  <c r="AC251" i="3"/>
  <c r="AA251" i="3"/>
  <c r="Z251" i="3"/>
  <c r="AD251" i="3"/>
  <c r="U250" i="3" l="1"/>
  <c r="Y249" i="3"/>
  <c r="T251" i="3"/>
  <c r="D251" i="3" l="1"/>
  <c r="G251" i="3" s="1"/>
  <c r="AG251" i="3"/>
  <c r="AH251" i="3"/>
  <c r="E251" i="3"/>
  <c r="H251" i="3" s="1"/>
  <c r="I251" i="3" l="1"/>
  <c r="J251" i="3"/>
  <c r="M251" i="3"/>
  <c r="N251" i="3" s="1"/>
  <c r="K251" i="3"/>
  <c r="AE251" i="3" s="1"/>
  <c r="F251" i="3"/>
  <c r="V251" i="3" l="1"/>
  <c r="W251" i="3" s="1"/>
  <c r="A252" i="3"/>
  <c r="B252" i="3" s="1"/>
  <c r="L251" i="3"/>
  <c r="U251" i="3" l="1"/>
  <c r="Y250" i="3"/>
  <c r="AD252" i="3"/>
  <c r="Z252" i="3"/>
  <c r="AA252" i="3"/>
  <c r="P252" i="3"/>
  <c r="Q252" i="3" s="1"/>
  <c r="R252" i="3" s="1"/>
  <c r="S252" i="3" s="1"/>
  <c r="AC252" i="3"/>
  <c r="T252" i="3" l="1"/>
  <c r="AH252" i="3" s="1"/>
  <c r="E252" i="3" l="1"/>
  <c r="H252" i="3" s="1"/>
  <c r="K252" i="3" s="1"/>
  <c r="AE252" i="3" s="1"/>
  <c r="AG252" i="3"/>
  <c r="D252" i="3"/>
  <c r="F252" i="3" l="1"/>
  <c r="G252" i="3"/>
  <c r="V252" i="3"/>
  <c r="A253" i="3"/>
  <c r="B253" i="3" s="1"/>
  <c r="AC253" i="3" l="1"/>
  <c r="AA253" i="3"/>
  <c r="AD253" i="3"/>
  <c r="P253" i="3"/>
  <c r="Q253" i="3" s="1"/>
  <c r="R253" i="3" s="1"/>
  <c r="S253" i="3" s="1"/>
  <c r="Z253" i="3"/>
  <c r="I252" i="3"/>
  <c r="W252" i="3" s="1"/>
  <c r="J252" i="3"/>
  <c r="M252" i="3"/>
  <c r="N252" i="3" s="1"/>
  <c r="L252" i="3" l="1"/>
  <c r="T253" i="3"/>
  <c r="AH253" i="3" l="1"/>
  <c r="U252" i="3"/>
  <c r="E253" i="3" s="1"/>
  <c r="H253" i="3" s="1"/>
  <c r="AG253" i="3"/>
  <c r="Y251" i="3"/>
  <c r="D253" i="3" l="1"/>
  <c r="F253" i="3" s="1"/>
  <c r="K253" i="3"/>
  <c r="AE253" i="3" s="1"/>
  <c r="G253" i="3" l="1"/>
  <c r="J253" i="3" s="1"/>
  <c r="V253" i="3"/>
  <c r="A254" i="3"/>
  <c r="B254" i="3" s="1"/>
  <c r="M253" i="3" l="1"/>
  <c r="N253" i="3" s="1"/>
  <c r="I253" i="3"/>
  <c r="W253" i="3" s="1"/>
  <c r="L253" i="3"/>
  <c r="AA254" i="3"/>
  <c r="AC254" i="3"/>
  <c r="P254" i="3"/>
  <c r="Q254" i="3" s="1"/>
  <c r="R254" i="3" s="1"/>
  <c r="S254" i="3" s="1"/>
  <c r="Z254" i="3"/>
  <c r="U253" i="3" l="1"/>
  <c r="Y252" i="3"/>
  <c r="T254" i="3"/>
  <c r="AH254" i="3" s="1"/>
  <c r="D254" i="3" l="1"/>
  <c r="G254" i="3" s="1"/>
  <c r="E254" i="3"/>
  <c r="H254" i="3" s="1"/>
  <c r="K254" i="3" s="1"/>
  <c r="AE254" i="3" s="1"/>
  <c r="AG254" i="3"/>
  <c r="F254" i="3" l="1"/>
  <c r="I254" i="3"/>
  <c r="J254" i="3"/>
  <c r="M254" i="3"/>
  <c r="N254" i="3" s="1"/>
  <c r="V254" i="3"/>
  <c r="A255" i="3"/>
  <c r="B255" i="3" s="1"/>
  <c r="W254" i="3" l="1"/>
  <c r="L254" i="3"/>
  <c r="AD254" i="3"/>
  <c r="AA255" i="3"/>
  <c r="AC255" i="3"/>
  <c r="AD255" i="3"/>
  <c r="Z255" i="3"/>
  <c r="P255" i="3"/>
  <c r="Q255" i="3" s="1"/>
  <c r="R255" i="3" s="1"/>
  <c r="S255" i="3" s="1"/>
  <c r="U254" i="3" l="1"/>
  <c r="Y253" i="3"/>
  <c r="T255" i="3"/>
  <c r="D255" i="3" l="1"/>
  <c r="G255" i="3" s="1"/>
  <c r="AG255" i="3"/>
  <c r="AH255" i="3"/>
  <c r="E255" i="3"/>
  <c r="H255" i="3" s="1"/>
  <c r="K255" i="3" s="1"/>
  <c r="AE255" i="3" s="1"/>
  <c r="F255" i="3" l="1"/>
  <c r="I255" i="3"/>
  <c r="J255" i="3"/>
  <c r="M255" i="3"/>
  <c r="N255" i="3" s="1"/>
  <c r="V255" i="3"/>
  <c r="A256" i="3"/>
  <c r="B256" i="3" s="1"/>
  <c r="W255" i="3" l="1"/>
  <c r="L255" i="3"/>
  <c r="AA256" i="3"/>
  <c r="AD256" i="3"/>
  <c r="P256" i="3"/>
  <c r="Q256" i="3" s="1"/>
  <c r="R256" i="3" s="1"/>
  <c r="S256" i="3" s="1"/>
  <c r="Z256" i="3"/>
  <c r="AC256" i="3"/>
  <c r="U255" i="3" l="1"/>
  <c r="Y254" i="3"/>
  <c r="T256" i="3"/>
  <c r="D256" i="3" l="1"/>
  <c r="G256" i="3" s="1"/>
  <c r="E256" i="3"/>
  <c r="H256" i="3" s="1"/>
  <c r="AH256" i="3"/>
  <c r="AG256" i="3"/>
  <c r="F256" i="3" l="1"/>
  <c r="I256" i="3"/>
  <c r="J256" i="3"/>
  <c r="M256" i="3"/>
  <c r="N256" i="3" s="1"/>
  <c r="K256" i="3"/>
  <c r="AE256" i="3" s="1"/>
  <c r="L256" i="3" l="1"/>
  <c r="V256" i="3"/>
  <c r="W256" i="3" s="1"/>
  <c r="A257" i="3"/>
  <c r="B257" i="3" s="1"/>
  <c r="U256" i="3" l="1"/>
  <c r="Y255" i="3"/>
  <c r="AD257" i="3"/>
  <c r="AC257" i="3"/>
  <c r="Z257" i="3"/>
  <c r="P257" i="3"/>
  <c r="Q257" i="3" s="1"/>
  <c r="R257" i="3" s="1"/>
  <c r="S257" i="3" s="1"/>
  <c r="AA257" i="3"/>
  <c r="T257" i="3" l="1"/>
  <c r="D257" i="3" s="1"/>
  <c r="E257" i="3" l="1"/>
  <c r="H257" i="3" s="1"/>
  <c r="K257" i="3" s="1"/>
  <c r="AE257" i="3" s="1"/>
  <c r="AG257" i="3"/>
  <c r="AH257" i="3"/>
  <c r="G257" i="3"/>
  <c r="F257" i="3" l="1"/>
  <c r="V257" i="3"/>
  <c r="A258" i="3"/>
  <c r="B258" i="3" s="1"/>
  <c r="I257" i="3"/>
  <c r="J257" i="3"/>
  <c r="M257" i="3"/>
  <c r="N257" i="3" s="1"/>
  <c r="W257" i="3" l="1"/>
  <c r="L257" i="3"/>
  <c r="AC258" i="3"/>
  <c r="AD258" i="3"/>
  <c r="Z258" i="3"/>
  <c r="P258" i="3"/>
  <c r="Q258" i="3" s="1"/>
  <c r="R258" i="3" s="1"/>
  <c r="S258" i="3" s="1"/>
  <c r="AA258" i="3"/>
  <c r="U257" i="3" l="1"/>
  <c r="Y256" i="3"/>
  <c r="T258" i="3"/>
  <c r="AG258" i="3" s="1"/>
  <c r="E258" i="3" l="1"/>
  <c r="H258" i="3" s="1"/>
  <c r="D258" i="3"/>
  <c r="AH258" i="3"/>
  <c r="F258" i="3" l="1"/>
  <c r="G258" i="3"/>
  <c r="K258" i="3"/>
  <c r="AE258" i="3" s="1"/>
  <c r="V258" i="3" l="1"/>
  <c r="A259" i="3"/>
  <c r="B259" i="3" s="1"/>
  <c r="I258" i="3"/>
  <c r="J258" i="3"/>
  <c r="M258" i="3"/>
  <c r="N258" i="3" s="1"/>
  <c r="L258" i="3" l="1"/>
  <c r="AC259" i="3"/>
  <c r="P259" i="3"/>
  <c r="Q259" i="3" s="1"/>
  <c r="R259" i="3" s="1"/>
  <c r="S259" i="3" s="1"/>
  <c r="Z259" i="3"/>
  <c r="AD259" i="3"/>
  <c r="AA259" i="3"/>
  <c r="W258" i="3"/>
  <c r="U258" i="3" l="1"/>
  <c r="Y257" i="3"/>
  <c r="T259" i="3"/>
  <c r="AH259" i="3" s="1"/>
  <c r="D259" i="3" l="1"/>
  <c r="G259" i="3" s="1"/>
  <c r="AG259" i="3"/>
  <c r="E259" i="3"/>
  <c r="H259" i="3" s="1"/>
  <c r="K259" i="3" s="1"/>
  <c r="AE259" i="3" s="1"/>
  <c r="F259" i="3" l="1"/>
  <c r="I259" i="3"/>
  <c r="J259" i="3"/>
  <c r="M259" i="3"/>
  <c r="N259" i="3" s="1"/>
  <c r="V259" i="3"/>
  <c r="A260" i="3"/>
  <c r="B260" i="3" s="1"/>
  <c r="W259" i="3" l="1"/>
  <c r="L259" i="3"/>
  <c r="AA260" i="3"/>
  <c r="P260" i="3"/>
  <c r="Q260" i="3" s="1"/>
  <c r="R260" i="3" s="1"/>
  <c r="S260" i="3" s="1"/>
  <c r="AD260" i="3"/>
  <c r="Z260" i="3"/>
  <c r="AC260" i="3"/>
  <c r="U259" i="3" l="1"/>
  <c r="Y258" i="3"/>
  <c r="T260" i="3"/>
  <c r="AH260" i="3" s="1"/>
  <c r="AG260" i="3" l="1"/>
  <c r="D260" i="3"/>
  <c r="E260" i="3"/>
  <c r="H260" i="3" s="1"/>
  <c r="K260" i="3" l="1"/>
  <c r="AE260" i="3" s="1"/>
  <c r="F260" i="3"/>
  <c r="G260" i="3"/>
  <c r="I260" i="3" l="1"/>
  <c r="J260" i="3"/>
  <c r="M260" i="3"/>
  <c r="N260" i="3" s="1"/>
  <c r="V260" i="3"/>
  <c r="A261" i="3"/>
  <c r="B261" i="3" s="1"/>
  <c r="W260" i="3" l="1"/>
  <c r="L260" i="3"/>
  <c r="Z261" i="3"/>
  <c r="AA261" i="3"/>
  <c r="AD261" i="3"/>
  <c r="P261" i="3"/>
  <c r="Q261" i="3" s="1"/>
  <c r="R261" i="3" s="1"/>
  <c r="S261" i="3" s="1"/>
  <c r="AC261" i="3"/>
  <c r="U260" i="3" l="1"/>
  <c r="Y259" i="3"/>
  <c r="T261" i="3"/>
  <c r="AH261" i="3" s="1"/>
  <c r="E261" i="3" l="1"/>
  <c r="H261" i="3" s="1"/>
  <c r="D261" i="3"/>
  <c r="AG261" i="3"/>
  <c r="K261" i="3" l="1"/>
  <c r="AE261" i="3" s="1"/>
  <c r="F261" i="3"/>
  <c r="G261" i="3"/>
  <c r="I261" i="3" l="1"/>
  <c r="J261" i="3"/>
  <c r="M261" i="3"/>
  <c r="N261" i="3" s="1"/>
  <c r="V261" i="3"/>
  <c r="A262" i="3"/>
  <c r="B262" i="3" s="1"/>
  <c r="W261" i="3" l="1"/>
  <c r="L261" i="3"/>
  <c r="AA262" i="3"/>
  <c r="Z262" i="3"/>
  <c r="P262" i="3"/>
  <c r="Q262" i="3" s="1"/>
  <c r="R262" i="3" s="1"/>
  <c r="S262" i="3" s="1"/>
  <c r="AC262" i="3"/>
  <c r="AD262" i="3"/>
  <c r="T262" i="3" l="1"/>
  <c r="AG262" i="3" s="1"/>
  <c r="U261" i="3"/>
  <c r="Y260" i="3"/>
  <c r="E262" i="3" l="1"/>
  <c r="H262" i="3" s="1"/>
  <c r="K262" i="3" s="1"/>
  <c r="AE262" i="3" s="1"/>
  <c r="AH262" i="3"/>
  <c r="D262" i="3"/>
  <c r="F262" i="3" l="1"/>
  <c r="G262" i="3"/>
  <c r="V262" i="3"/>
  <c r="A263" i="3"/>
  <c r="B263" i="3" s="1"/>
  <c r="P263" i="3" l="1"/>
  <c r="Q263" i="3" s="1"/>
  <c r="R263" i="3" s="1"/>
  <c r="S263" i="3" s="1"/>
  <c r="AA263" i="3"/>
  <c r="Z263" i="3"/>
  <c r="AD263" i="3"/>
  <c r="AC263" i="3"/>
  <c r="I262" i="3"/>
  <c r="W262" i="3" s="1"/>
  <c r="J262" i="3"/>
  <c r="M262" i="3"/>
  <c r="N262" i="3" s="1"/>
  <c r="L262" i="3" l="1"/>
  <c r="T263" i="3"/>
  <c r="U262" i="3" l="1"/>
  <c r="E263" i="3" s="1"/>
  <c r="H263" i="3" s="1"/>
  <c r="AH263" i="3"/>
  <c r="AG263" i="3"/>
  <c r="Y261" i="3"/>
  <c r="D263" i="3" l="1"/>
  <c r="G263" i="3" s="1"/>
  <c r="K263" i="3"/>
  <c r="AE263" i="3" s="1"/>
  <c r="F263" i="3" l="1"/>
  <c r="V263" i="3"/>
  <c r="A264" i="3"/>
  <c r="B264" i="3" s="1"/>
  <c r="I263" i="3"/>
  <c r="J263" i="3"/>
  <c r="M263" i="3"/>
  <c r="N263" i="3" s="1"/>
  <c r="W263" i="3" l="1"/>
  <c r="L263" i="3"/>
  <c r="P264" i="3"/>
  <c r="Q264" i="3" s="1"/>
  <c r="R264" i="3" s="1"/>
  <c r="S264" i="3" s="1"/>
  <c r="AA264" i="3"/>
  <c r="AC264" i="3"/>
  <c r="Z264" i="3"/>
  <c r="U263" i="3" l="1"/>
  <c r="Y262" i="3"/>
  <c r="T264" i="3"/>
  <c r="AH264" i="3" s="1"/>
  <c r="AG264" i="3" l="1"/>
  <c r="D264" i="3"/>
  <c r="G264" i="3" s="1"/>
  <c r="E264" i="3"/>
  <c r="H264" i="3" s="1"/>
  <c r="K264" i="3" l="1"/>
  <c r="AE264" i="3" s="1"/>
  <c r="I264" i="3"/>
  <c r="J264" i="3"/>
  <c r="AD264" i="3" s="1"/>
  <c r="M264" i="3"/>
  <c r="N264" i="3" s="1"/>
  <c r="F264" i="3"/>
  <c r="L264" i="3" l="1"/>
  <c r="V264" i="3"/>
  <c r="W264" i="3" s="1"/>
  <c r="A265" i="3"/>
  <c r="B265" i="3" s="1"/>
  <c r="U264" i="3" l="1"/>
  <c r="Y263" i="3"/>
  <c r="P265" i="3"/>
  <c r="Q265" i="3" s="1"/>
  <c r="R265" i="3" s="1"/>
  <c r="S265" i="3" s="1"/>
  <c r="AA265" i="3"/>
  <c r="AD265" i="3"/>
  <c r="Z265" i="3"/>
  <c r="AC265" i="3"/>
  <c r="T265" i="3" l="1"/>
  <c r="AG265" i="3" l="1"/>
  <c r="AH265" i="3"/>
  <c r="D265" i="3"/>
  <c r="E265" i="3"/>
  <c r="H265" i="3" s="1"/>
  <c r="F265" i="3" l="1"/>
  <c r="G265" i="3"/>
  <c r="K265" i="3"/>
  <c r="AE265" i="3" s="1"/>
  <c r="I265" i="3" l="1"/>
  <c r="J265" i="3"/>
  <c r="M265" i="3"/>
  <c r="N265" i="3" s="1"/>
  <c r="V265" i="3"/>
  <c r="A266" i="3"/>
  <c r="B266" i="3" s="1"/>
  <c r="L265" i="3" l="1"/>
  <c r="W265" i="3"/>
  <c r="P266" i="3"/>
  <c r="Q266" i="3" s="1"/>
  <c r="R266" i="3" s="1"/>
  <c r="S266" i="3" s="1"/>
  <c r="AC266" i="3"/>
  <c r="Z266" i="3"/>
  <c r="AA266" i="3"/>
  <c r="AD266" i="3"/>
  <c r="T266" i="3" l="1"/>
  <c r="U265" i="3"/>
  <c r="Y264" i="3"/>
  <c r="E266" i="3" l="1"/>
  <c r="H266" i="3" s="1"/>
  <c r="K266" i="3" s="1"/>
  <c r="AE266" i="3" s="1"/>
  <c r="AH266" i="3"/>
  <c r="AG266" i="3"/>
  <c r="D266" i="3"/>
  <c r="V266" i="3" l="1"/>
  <c r="A267" i="3"/>
  <c r="B267" i="3" s="1"/>
  <c r="F266" i="3"/>
  <c r="G266" i="3"/>
  <c r="I266" i="3" l="1"/>
  <c r="W266" i="3" s="1"/>
  <c r="J266" i="3"/>
  <c r="M266" i="3"/>
  <c r="N266" i="3" s="1"/>
  <c r="AC267" i="3"/>
  <c r="P267" i="3"/>
  <c r="Q267" i="3" s="1"/>
  <c r="R267" i="3" s="1"/>
  <c r="S267" i="3" s="1"/>
  <c r="AA267" i="3"/>
  <c r="Z267" i="3"/>
  <c r="AD267" i="3"/>
  <c r="T267" i="3" l="1"/>
  <c r="L266" i="3"/>
  <c r="AH267" i="3" l="1"/>
  <c r="AG267" i="3"/>
  <c r="U266" i="3"/>
  <c r="E267" i="3" s="1"/>
  <c r="H267" i="3" s="1"/>
  <c r="Y265" i="3"/>
  <c r="K267" i="3" l="1"/>
  <c r="AE267" i="3" s="1"/>
  <c r="D267" i="3"/>
  <c r="V267" i="3" l="1"/>
  <c r="A268" i="3"/>
  <c r="B268" i="3" s="1"/>
  <c r="F267" i="3"/>
  <c r="G267" i="3"/>
  <c r="I267" i="3" l="1"/>
  <c r="W267" i="3" s="1"/>
  <c r="J267" i="3"/>
  <c r="M267" i="3"/>
  <c r="N267" i="3" s="1"/>
  <c r="AC268" i="3"/>
  <c r="P268" i="3"/>
  <c r="Q268" i="3" s="1"/>
  <c r="R268" i="3" s="1"/>
  <c r="S268" i="3" s="1"/>
  <c r="Z268" i="3"/>
  <c r="AA268" i="3"/>
  <c r="AD268" i="3"/>
  <c r="T268" i="3" l="1"/>
  <c r="L267" i="3"/>
  <c r="U267" i="3" l="1"/>
  <c r="E268" i="3" s="1"/>
  <c r="H268" i="3" s="1"/>
  <c r="AH268" i="3"/>
  <c r="AG268" i="3"/>
  <c r="Y266" i="3"/>
  <c r="K268" i="3" l="1"/>
  <c r="AE268" i="3" s="1"/>
  <c r="D268" i="3"/>
  <c r="V268" i="3" l="1"/>
  <c r="A269" i="3"/>
  <c r="B269" i="3" s="1"/>
  <c r="F268" i="3"/>
  <c r="G268" i="3"/>
  <c r="I268" i="3" l="1"/>
  <c r="W268" i="3" s="1"/>
  <c r="J268" i="3"/>
  <c r="M268" i="3"/>
  <c r="N268" i="3" s="1"/>
  <c r="AD269" i="3"/>
  <c r="P269" i="3"/>
  <c r="Q269" i="3" s="1"/>
  <c r="R269" i="3" s="1"/>
  <c r="S269" i="3" s="1"/>
  <c r="AA269" i="3"/>
  <c r="Z269" i="3"/>
  <c r="AC269" i="3"/>
  <c r="T269" i="3" l="1"/>
  <c r="L268" i="3"/>
  <c r="U268" i="3" l="1"/>
  <c r="D269" i="3" s="1"/>
  <c r="AH269" i="3"/>
  <c r="AG269" i="3"/>
  <c r="Y267" i="3"/>
  <c r="G269" i="3" l="1"/>
  <c r="E269" i="3"/>
  <c r="H269" i="3" s="1"/>
  <c r="F269" i="3" l="1"/>
  <c r="I269" i="3"/>
  <c r="J269" i="3"/>
  <c r="M269" i="3"/>
  <c r="N269" i="3" s="1"/>
  <c r="K269" i="3"/>
  <c r="AE269" i="3" s="1"/>
  <c r="V269" i="3" l="1"/>
  <c r="W269" i="3" s="1"/>
  <c r="A270" i="3"/>
  <c r="B270" i="3" s="1"/>
  <c r="L269" i="3"/>
  <c r="U269" i="3" l="1"/>
  <c r="Y268" i="3"/>
  <c r="AA270" i="3"/>
  <c r="Z270" i="3"/>
  <c r="P270" i="3"/>
  <c r="Q270" i="3" s="1"/>
  <c r="R270" i="3" s="1"/>
  <c r="S270" i="3" s="1"/>
  <c r="AC270" i="3"/>
  <c r="AD270" i="3"/>
  <c r="T270" i="3" l="1"/>
  <c r="AG270" i="3" s="1"/>
  <c r="AH270" i="3" l="1"/>
  <c r="E270" i="3"/>
  <c r="H270" i="3" s="1"/>
  <c r="K270" i="3" s="1"/>
  <c r="AE270" i="3" s="1"/>
  <c r="D270" i="3"/>
  <c r="G270" i="3" s="1"/>
  <c r="F270" i="3" l="1"/>
  <c r="V270" i="3"/>
  <c r="A271" i="3"/>
  <c r="B271" i="3" s="1"/>
  <c r="I270" i="3"/>
  <c r="J270" i="3"/>
  <c r="M270" i="3"/>
  <c r="N270" i="3" s="1"/>
  <c r="L270" i="3" l="1"/>
  <c r="Z271" i="3"/>
  <c r="AA271" i="3"/>
  <c r="P271" i="3"/>
  <c r="Q271" i="3" s="1"/>
  <c r="R271" i="3" s="1"/>
  <c r="S271" i="3" s="1"/>
  <c r="AC271" i="3"/>
  <c r="AD271" i="3"/>
  <c r="W270" i="3"/>
  <c r="U270" i="3" l="1"/>
  <c r="Y269" i="3"/>
  <c r="T271" i="3"/>
  <c r="AH271" i="3" s="1"/>
  <c r="AG271" i="3" l="1"/>
  <c r="D271" i="3"/>
  <c r="E271" i="3"/>
  <c r="H271" i="3" s="1"/>
  <c r="K271" i="3" l="1"/>
  <c r="AE271" i="3" s="1"/>
  <c r="F271" i="3"/>
  <c r="G271" i="3"/>
  <c r="I271" i="3" l="1"/>
  <c r="J271" i="3"/>
  <c r="M271" i="3"/>
  <c r="N271" i="3" s="1"/>
  <c r="V271" i="3"/>
  <c r="A272" i="3"/>
  <c r="B272" i="3" s="1"/>
  <c r="W271" i="3" l="1"/>
  <c r="L271" i="3"/>
  <c r="AD272" i="3"/>
  <c r="Z272" i="3"/>
  <c r="AA272" i="3"/>
  <c r="P272" i="3"/>
  <c r="Q272" i="3" s="1"/>
  <c r="R272" i="3" s="1"/>
  <c r="S272" i="3" s="1"/>
  <c r="AC272" i="3"/>
  <c r="T272" i="3" l="1"/>
  <c r="U271" i="3"/>
  <c r="Y270" i="3"/>
  <c r="D272" i="3" l="1"/>
  <c r="G272" i="3" s="1"/>
  <c r="E272" i="3"/>
  <c r="H272" i="3" s="1"/>
  <c r="K272" i="3" s="1"/>
  <c r="AE272" i="3" s="1"/>
  <c r="AG272" i="3"/>
  <c r="AH272" i="3"/>
  <c r="F272" i="3" l="1"/>
  <c r="I272" i="3"/>
  <c r="J272" i="3"/>
  <c r="M272" i="3"/>
  <c r="N272" i="3" s="1"/>
  <c r="V272" i="3"/>
  <c r="A273" i="3"/>
  <c r="B273" i="3" s="1"/>
  <c r="W272" i="3" l="1"/>
  <c r="L272" i="3"/>
  <c r="AA273" i="3"/>
  <c r="P273" i="3"/>
  <c r="Q273" i="3" s="1"/>
  <c r="R273" i="3" s="1"/>
  <c r="S273" i="3" s="1"/>
  <c r="Z273" i="3"/>
  <c r="AC273" i="3"/>
  <c r="AD273" i="3"/>
  <c r="T273" i="3" l="1"/>
  <c r="AG273" i="3" s="1"/>
  <c r="U272" i="3"/>
  <c r="Y271" i="3"/>
  <c r="D273" i="3" l="1"/>
  <c r="G273" i="3" s="1"/>
  <c r="AH273" i="3"/>
  <c r="E273" i="3"/>
  <c r="H273" i="3" s="1"/>
  <c r="F273" i="3" l="1"/>
  <c r="I273" i="3"/>
  <c r="J273" i="3"/>
  <c r="M273" i="3"/>
  <c r="N273" i="3" s="1"/>
  <c r="K273" i="3"/>
  <c r="AE273" i="3" s="1"/>
  <c r="L273" i="3" l="1"/>
  <c r="V273" i="3"/>
  <c r="W273" i="3" s="1"/>
  <c r="A274" i="3"/>
  <c r="B274" i="3" s="1"/>
  <c r="P274" i="3" l="1"/>
  <c r="Q274" i="3" s="1"/>
  <c r="R274" i="3" s="1"/>
  <c r="S274" i="3" s="1"/>
  <c r="AC274" i="3"/>
  <c r="Z274" i="3"/>
  <c r="AA274" i="3"/>
  <c r="U273" i="3"/>
  <c r="Y272" i="3"/>
  <c r="T274" i="3" l="1"/>
  <c r="AG274" i="3" s="1"/>
  <c r="D274" i="3" l="1"/>
  <c r="G274" i="3" s="1"/>
  <c r="AH274" i="3"/>
  <c r="E274" i="3"/>
  <c r="H274" i="3" s="1"/>
  <c r="I274" i="3" l="1"/>
  <c r="J274" i="3"/>
  <c r="AD274" i="3" s="1"/>
  <c r="M274" i="3"/>
  <c r="N274" i="3" s="1"/>
  <c r="K274" i="3"/>
  <c r="AE274" i="3" s="1"/>
  <c r="F274" i="3"/>
  <c r="L274" i="3" l="1"/>
  <c r="V274" i="3"/>
  <c r="W274" i="3" s="1"/>
  <c r="A275" i="3"/>
  <c r="B275" i="3" s="1"/>
  <c r="U274" i="3" l="1"/>
  <c r="Y273" i="3"/>
  <c r="AA275" i="3"/>
  <c r="P275" i="3"/>
  <c r="Q275" i="3" s="1"/>
  <c r="R275" i="3" s="1"/>
  <c r="S275" i="3" s="1"/>
  <c r="AD275" i="3"/>
  <c r="Z275" i="3"/>
  <c r="AC275" i="3"/>
  <c r="T275" i="3" l="1"/>
  <c r="AH275" i="3" s="1"/>
  <c r="E275" i="3" l="1"/>
  <c r="H275" i="3" s="1"/>
  <c r="AG275" i="3"/>
  <c r="D275" i="3"/>
  <c r="F275" i="3" l="1"/>
  <c r="G275" i="3"/>
  <c r="K275" i="3"/>
  <c r="AE275" i="3" s="1"/>
  <c r="I275" i="3" l="1"/>
  <c r="J275" i="3"/>
  <c r="M275" i="3"/>
  <c r="N275" i="3" s="1"/>
  <c r="V275" i="3"/>
  <c r="A276" i="3"/>
  <c r="B276" i="3" s="1"/>
  <c r="W275" i="3" l="1"/>
  <c r="L275" i="3"/>
  <c r="AA276" i="3"/>
  <c r="Z276" i="3"/>
  <c r="P276" i="3"/>
  <c r="Q276" i="3" s="1"/>
  <c r="R276" i="3" s="1"/>
  <c r="S276" i="3" s="1"/>
  <c r="AC276" i="3"/>
  <c r="AD276" i="3"/>
  <c r="U275" i="3" l="1"/>
  <c r="Y274" i="3"/>
  <c r="T276" i="3"/>
  <c r="AH276" i="3" s="1"/>
  <c r="D276" i="3" l="1"/>
  <c r="AG276" i="3"/>
  <c r="E276" i="3"/>
  <c r="H276" i="3" s="1"/>
  <c r="F276" i="3" l="1"/>
  <c r="G276" i="3"/>
  <c r="K276" i="3"/>
  <c r="AE276" i="3" s="1"/>
  <c r="I276" i="3" l="1"/>
  <c r="J276" i="3"/>
  <c r="M276" i="3"/>
  <c r="N276" i="3" s="1"/>
  <c r="V276" i="3"/>
  <c r="A277" i="3"/>
  <c r="B277" i="3" s="1"/>
  <c r="W276" i="3" l="1"/>
  <c r="L276" i="3"/>
  <c r="P277" i="3"/>
  <c r="Q277" i="3" s="1"/>
  <c r="R277" i="3" s="1"/>
  <c r="S277" i="3" s="1"/>
  <c r="AC277" i="3"/>
  <c r="Z277" i="3"/>
  <c r="AD277" i="3"/>
  <c r="AA277" i="3"/>
  <c r="U276" i="3" l="1"/>
  <c r="Y275" i="3"/>
  <c r="T277" i="3"/>
  <c r="AG277" i="3" s="1"/>
  <c r="D277" i="3" l="1"/>
  <c r="G277" i="3" s="1"/>
  <c r="E277" i="3"/>
  <c r="H277" i="3" s="1"/>
  <c r="K277" i="3" s="1"/>
  <c r="AE277" i="3" s="1"/>
  <c r="AH277" i="3"/>
  <c r="F277" i="3" l="1"/>
  <c r="V277" i="3"/>
  <c r="A278" i="3"/>
  <c r="B278" i="3" s="1"/>
  <c r="I277" i="3"/>
  <c r="J277" i="3"/>
  <c r="M277" i="3"/>
  <c r="N277" i="3" s="1"/>
  <c r="W277" i="3" l="1"/>
  <c r="L277" i="3"/>
  <c r="AD278" i="3"/>
  <c r="AC278" i="3"/>
  <c r="Z278" i="3"/>
  <c r="P278" i="3"/>
  <c r="Q278" i="3" s="1"/>
  <c r="R278" i="3" s="1"/>
  <c r="S278" i="3" s="1"/>
  <c r="AA278" i="3"/>
  <c r="T278" i="3" l="1"/>
  <c r="U277" i="3"/>
  <c r="Y276" i="3"/>
  <c r="E278" i="3" l="1"/>
  <c r="H278" i="3" s="1"/>
  <c r="K278" i="3" s="1"/>
  <c r="AE278" i="3" s="1"/>
  <c r="D278" i="3"/>
  <c r="AH278" i="3"/>
  <c r="AG278" i="3"/>
  <c r="V278" i="3" l="1"/>
  <c r="A279" i="3"/>
  <c r="B279" i="3" s="1"/>
  <c r="F278" i="3"/>
  <c r="G278" i="3"/>
  <c r="I278" i="3" l="1"/>
  <c r="W278" i="3" s="1"/>
  <c r="J278" i="3"/>
  <c r="M278" i="3"/>
  <c r="N278" i="3" s="1"/>
  <c r="P279" i="3"/>
  <c r="Q279" i="3" s="1"/>
  <c r="R279" i="3" s="1"/>
  <c r="S279" i="3" s="1"/>
  <c r="AA279" i="3"/>
  <c r="AD279" i="3"/>
  <c r="Z279" i="3"/>
  <c r="AC279" i="3"/>
  <c r="T279" i="3" l="1"/>
  <c r="L278" i="3"/>
  <c r="U278" i="3" l="1"/>
  <c r="D279" i="3" s="1"/>
  <c r="AG279" i="3"/>
  <c r="AH279" i="3"/>
  <c r="Y277" i="3"/>
  <c r="G279" i="3" l="1"/>
  <c r="E279" i="3"/>
  <c r="H279" i="3" s="1"/>
  <c r="I279" i="3" l="1"/>
  <c r="J279" i="3"/>
  <c r="M279" i="3"/>
  <c r="N279" i="3" s="1"/>
  <c r="F279" i="3"/>
  <c r="K279" i="3"/>
  <c r="AE279" i="3" s="1"/>
  <c r="V279" i="3" l="1"/>
  <c r="W279" i="3" s="1"/>
  <c r="A280" i="3"/>
  <c r="B280" i="3" s="1"/>
  <c r="L279" i="3"/>
  <c r="U279" i="3" l="1"/>
  <c r="Y278" i="3"/>
  <c r="AA280" i="3"/>
  <c r="P280" i="3"/>
  <c r="Q280" i="3" s="1"/>
  <c r="R280" i="3" s="1"/>
  <c r="S280" i="3" s="1"/>
  <c r="AD280" i="3"/>
  <c r="AC280" i="3"/>
  <c r="Z280" i="3"/>
  <c r="T280" i="3" l="1"/>
  <c r="AH280" i="3" s="1"/>
  <c r="D280" i="3" l="1"/>
  <c r="G280" i="3" s="1"/>
  <c r="E280" i="3"/>
  <c r="H280" i="3" s="1"/>
  <c r="K280" i="3" s="1"/>
  <c r="AE280" i="3" s="1"/>
  <c r="AG280" i="3"/>
  <c r="F280" i="3" l="1"/>
  <c r="I280" i="3"/>
  <c r="J280" i="3"/>
  <c r="M280" i="3"/>
  <c r="N280" i="3" s="1"/>
  <c r="V280" i="3"/>
  <c r="A281" i="3"/>
  <c r="B281" i="3" s="1"/>
  <c r="L280" i="3" l="1"/>
  <c r="W280" i="3"/>
  <c r="AC281" i="3"/>
  <c r="AA281" i="3"/>
  <c r="P281" i="3"/>
  <c r="Q281" i="3" s="1"/>
  <c r="R281" i="3" s="1"/>
  <c r="S281" i="3" s="1"/>
  <c r="AD281" i="3"/>
  <c r="Z281" i="3"/>
  <c r="T281" i="3" l="1"/>
  <c r="AG281" i="3" s="1"/>
  <c r="U280" i="3"/>
  <c r="Y279" i="3"/>
  <c r="D281" i="3" l="1"/>
  <c r="E281" i="3"/>
  <c r="H281" i="3" s="1"/>
  <c r="AH281" i="3"/>
  <c r="F281" i="3" l="1"/>
  <c r="G281" i="3"/>
  <c r="K281" i="3"/>
  <c r="AE281" i="3" s="1"/>
  <c r="I281" i="3" l="1"/>
  <c r="J281" i="3"/>
  <c r="M281" i="3"/>
  <c r="N281" i="3" s="1"/>
  <c r="V281" i="3"/>
  <c r="A282" i="3"/>
  <c r="B282" i="3" s="1"/>
  <c r="W281" i="3" l="1"/>
  <c r="L281" i="3"/>
  <c r="AC282" i="3"/>
  <c r="Z282" i="3"/>
  <c r="AD282" i="3"/>
  <c r="P282" i="3"/>
  <c r="Q282" i="3" s="1"/>
  <c r="R282" i="3" s="1"/>
  <c r="S282" i="3" s="1"/>
  <c r="AA282" i="3"/>
  <c r="U281" i="3" l="1"/>
  <c r="Y280" i="3"/>
  <c r="T282" i="3"/>
  <c r="D282" i="3" l="1"/>
  <c r="G282" i="3" s="1"/>
  <c r="E282" i="3"/>
  <c r="H282" i="3" s="1"/>
  <c r="AH282" i="3"/>
  <c r="AG282" i="3"/>
  <c r="F282" i="3" l="1"/>
  <c r="I282" i="3"/>
  <c r="J282" i="3"/>
  <c r="M282" i="3"/>
  <c r="N282" i="3" s="1"/>
  <c r="K282" i="3"/>
  <c r="AE282" i="3" s="1"/>
  <c r="V282" i="3" l="1"/>
  <c r="W282" i="3" s="1"/>
  <c r="A283" i="3"/>
  <c r="B283" i="3" s="1"/>
  <c r="L282" i="3"/>
  <c r="U282" i="3" l="1"/>
  <c r="Y281" i="3"/>
  <c r="Z283" i="3"/>
  <c r="AC283" i="3"/>
  <c r="AD283" i="3"/>
  <c r="P283" i="3"/>
  <c r="Q283" i="3" s="1"/>
  <c r="R283" i="3" s="1"/>
  <c r="S283" i="3" s="1"/>
  <c r="AA283" i="3"/>
  <c r="T283" i="3" l="1"/>
  <c r="AH283" i="3" s="1"/>
  <c r="AG283" i="3" l="1"/>
  <c r="E283" i="3"/>
  <c r="H283" i="3" s="1"/>
  <c r="K283" i="3" s="1"/>
  <c r="AE283" i="3" s="1"/>
  <c r="D283" i="3"/>
  <c r="F283" i="3" l="1"/>
  <c r="G283" i="3"/>
  <c r="J283" i="3" s="1"/>
  <c r="V283" i="3"/>
  <c r="A284" i="3"/>
  <c r="B284" i="3" s="1"/>
  <c r="M283" i="3" l="1"/>
  <c r="N283" i="3" s="1"/>
  <c r="I283" i="3"/>
  <c r="W283" i="3" s="1"/>
  <c r="L283" i="3"/>
  <c r="AC284" i="3"/>
  <c r="AA284" i="3"/>
  <c r="P284" i="3"/>
  <c r="Q284" i="3" s="1"/>
  <c r="R284" i="3" s="1"/>
  <c r="S284" i="3" s="1"/>
  <c r="Z284" i="3"/>
  <c r="T284" i="3" l="1"/>
  <c r="AH284" i="3" s="1"/>
  <c r="U283" i="3"/>
  <c r="Y282" i="3"/>
  <c r="AG284" i="3" l="1"/>
  <c r="D284" i="3"/>
  <c r="E284" i="3"/>
  <c r="H284" i="3" s="1"/>
  <c r="F284" i="3" l="1"/>
  <c r="G284" i="3"/>
  <c r="K284" i="3"/>
  <c r="AE284" i="3" s="1"/>
  <c r="V284" i="3" l="1"/>
  <c r="A285" i="3"/>
  <c r="B285" i="3" s="1"/>
  <c r="I284" i="3"/>
  <c r="J284" i="3"/>
  <c r="AD284" i="3" s="1"/>
  <c r="M284" i="3"/>
  <c r="N284" i="3" s="1"/>
  <c r="W284" i="3" l="1"/>
  <c r="L284" i="3"/>
  <c r="AD285" i="3"/>
  <c r="AA285" i="3"/>
  <c r="P285" i="3"/>
  <c r="Q285" i="3" s="1"/>
  <c r="R285" i="3" s="1"/>
  <c r="S285" i="3" s="1"/>
  <c r="Z285" i="3"/>
  <c r="AC285" i="3"/>
  <c r="U284" i="3" l="1"/>
  <c r="Y283" i="3"/>
  <c r="T285" i="3"/>
  <c r="E285" i="3" l="1"/>
  <c r="H285" i="3" s="1"/>
  <c r="K285" i="3" s="1"/>
  <c r="AE285" i="3" s="1"/>
  <c r="AH285" i="3"/>
  <c r="D285" i="3"/>
  <c r="G285" i="3" s="1"/>
  <c r="AG285" i="3"/>
  <c r="F285" i="3" l="1"/>
  <c r="V285" i="3"/>
  <c r="A286" i="3"/>
  <c r="B286" i="3" s="1"/>
  <c r="I285" i="3"/>
  <c r="J285" i="3"/>
  <c r="M285" i="3"/>
  <c r="N285" i="3" s="1"/>
  <c r="W285" i="3" l="1"/>
  <c r="L285" i="3"/>
  <c r="AA286" i="3"/>
  <c r="P286" i="3"/>
  <c r="Q286" i="3" s="1"/>
  <c r="R286" i="3" s="1"/>
  <c r="S286" i="3" s="1"/>
  <c r="AD286" i="3"/>
  <c r="AC286" i="3"/>
  <c r="Z286" i="3"/>
  <c r="T286" i="3" l="1"/>
  <c r="AH286" i="3" s="1"/>
  <c r="U285" i="3"/>
  <c r="Y284" i="3"/>
  <c r="D286" i="3" l="1"/>
  <c r="G286" i="3" s="1"/>
  <c r="AG286" i="3"/>
  <c r="E286" i="3"/>
  <c r="H286" i="3" s="1"/>
  <c r="F286" i="3" l="1"/>
  <c r="I286" i="3"/>
  <c r="J286" i="3"/>
  <c r="M286" i="3"/>
  <c r="N286" i="3" s="1"/>
  <c r="K286" i="3"/>
  <c r="AE286" i="3" s="1"/>
  <c r="V286" i="3" l="1"/>
  <c r="W286" i="3" s="1"/>
  <c r="A287" i="3"/>
  <c r="B287" i="3" s="1"/>
  <c r="L286" i="3"/>
  <c r="U286" i="3" l="1"/>
  <c r="Y285" i="3"/>
  <c r="P287" i="3"/>
  <c r="Q287" i="3" s="1"/>
  <c r="R287" i="3" s="1"/>
  <c r="S287" i="3" s="1"/>
  <c r="AA287" i="3"/>
  <c r="Z287" i="3"/>
  <c r="AD287" i="3"/>
  <c r="AC287" i="3"/>
  <c r="T287" i="3" l="1"/>
  <c r="D287" i="3" s="1"/>
  <c r="G287" i="3" l="1"/>
  <c r="AH287" i="3"/>
  <c r="AG287" i="3"/>
  <c r="E287" i="3"/>
  <c r="H287" i="3" s="1"/>
  <c r="F287" i="3" l="1"/>
  <c r="K287" i="3"/>
  <c r="AE287" i="3" s="1"/>
  <c r="I287" i="3"/>
  <c r="J287" i="3"/>
  <c r="M287" i="3"/>
  <c r="N287" i="3" s="1"/>
  <c r="L287" i="3" l="1"/>
  <c r="V287" i="3"/>
  <c r="W287" i="3" s="1"/>
  <c r="A288" i="3"/>
  <c r="B288" i="3" s="1"/>
  <c r="U287" i="3" l="1"/>
  <c r="Y286" i="3"/>
  <c r="P288" i="3"/>
  <c r="Q288" i="3" s="1"/>
  <c r="R288" i="3" s="1"/>
  <c r="S288" i="3" s="1"/>
  <c r="AA288" i="3"/>
  <c r="AC288" i="3"/>
  <c r="AD288" i="3"/>
  <c r="Z288" i="3"/>
  <c r="T288" i="3" l="1"/>
  <c r="D288" i="3" s="1"/>
  <c r="AG288" i="3" l="1"/>
  <c r="AH288" i="3"/>
  <c r="E288" i="3"/>
  <c r="H288" i="3" s="1"/>
  <c r="K288" i="3" s="1"/>
  <c r="AE288" i="3" s="1"/>
  <c r="G288" i="3"/>
  <c r="F288" i="3" l="1"/>
  <c r="I288" i="3"/>
  <c r="J288" i="3"/>
  <c r="M288" i="3"/>
  <c r="N288" i="3" s="1"/>
  <c r="V288" i="3"/>
  <c r="A289" i="3"/>
  <c r="B289" i="3" s="1"/>
  <c r="W288" i="3" l="1"/>
  <c r="L288" i="3"/>
  <c r="AD289" i="3"/>
  <c r="P289" i="3"/>
  <c r="Q289" i="3" s="1"/>
  <c r="R289" i="3" s="1"/>
  <c r="S289" i="3" s="1"/>
  <c r="AA289" i="3"/>
  <c r="AC289" i="3"/>
  <c r="Z289" i="3"/>
  <c r="T289" i="3" l="1"/>
  <c r="U288" i="3"/>
  <c r="Y287" i="3"/>
  <c r="E289" i="3" l="1"/>
  <c r="H289" i="3" s="1"/>
  <c r="K289" i="3" s="1"/>
  <c r="AE289" i="3" s="1"/>
  <c r="AH289" i="3"/>
  <c r="AG289" i="3"/>
  <c r="D289" i="3"/>
  <c r="V289" i="3" l="1"/>
  <c r="A290" i="3"/>
  <c r="B290" i="3" s="1"/>
  <c r="F289" i="3"/>
  <c r="G289" i="3"/>
  <c r="I289" i="3" l="1"/>
  <c r="W289" i="3" s="1"/>
  <c r="J289" i="3"/>
  <c r="M289" i="3"/>
  <c r="N289" i="3" s="1"/>
  <c r="AA290" i="3"/>
  <c r="AC290" i="3"/>
  <c r="Z290" i="3"/>
  <c r="P290" i="3"/>
  <c r="Q290" i="3" s="1"/>
  <c r="R290" i="3" s="1"/>
  <c r="S290" i="3" s="1"/>
  <c r="AD290" i="3"/>
  <c r="T290" i="3" l="1"/>
  <c r="L289" i="3"/>
  <c r="U289" i="3" l="1"/>
  <c r="E290" i="3" s="1"/>
  <c r="H290" i="3" s="1"/>
  <c r="AH290" i="3"/>
  <c r="AG290" i="3"/>
  <c r="Y288" i="3"/>
  <c r="D290" i="3" l="1"/>
  <c r="G290" i="3" s="1"/>
  <c r="K290" i="3"/>
  <c r="AE290" i="3" s="1"/>
  <c r="F290" i="3" l="1"/>
  <c r="I290" i="3"/>
  <c r="J290" i="3"/>
  <c r="M290" i="3"/>
  <c r="N290" i="3" s="1"/>
  <c r="V290" i="3"/>
  <c r="A291" i="3"/>
  <c r="B291" i="3" s="1"/>
  <c r="L290" i="3" l="1"/>
  <c r="W290" i="3"/>
  <c r="P291" i="3"/>
  <c r="Q291" i="3" s="1"/>
  <c r="R291" i="3" s="1"/>
  <c r="S291" i="3" s="1"/>
  <c r="AD291" i="3"/>
  <c r="Z291" i="3"/>
  <c r="AA291" i="3"/>
  <c r="AC291" i="3"/>
  <c r="U290" i="3" l="1"/>
  <c r="Y289" i="3"/>
  <c r="T291" i="3"/>
  <c r="AG291" i="3" s="1"/>
  <c r="D291" i="3" l="1"/>
  <c r="E291" i="3"/>
  <c r="H291" i="3" s="1"/>
  <c r="AH291" i="3"/>
  <c r="K291" i="3" l="1"/>
  <c r="AE291" i="3" s="1"/>
  <c r="F291" i="3"/>
  <c r="G291" i="3"/>
  <c r="I291" i="3" l="1"/>
  <c r="J291" i="3"/>
  <c r="M291" i="3"/>
  <c r="N291" i="3" s="1"/>
  <c r="V291" i="3"/>
  <c r="A292" i="3"/>
  <c r="B292" i="3" s="1"/>
  <c r="W291" i="3" l="1"/>
  <c r="L291" i="3"/>
  <c r="Z292" i="3"/>
  <c r="AC292" i="3"/>
  <c r="AD292" i="3"/>
  <c r="AA292" i="3"/>
  <c r="P292" i="3"/>
  <c r="Q292" i="3" s="1"/>
  <c r="R292" i="3" s="1"/>
  <c r="S292" i="3" s="1"/>
  <c r="U291" i="3" l="1"/>
  <c r="Y290" i="3"/>
  <c r="T292" i="3"/>
  <c r="E292" i="3" l="1"/>
  <c r="H292" i="3" s="1"/>
  <c r="K292" i="3" s="1"/>
  <c r="AE292" i="3" s="1"/>
  <c r="D292" i="3"/>
  <c r="AG292" i="3"/>
  <c r="AH292" i="3"/>
  <c r="V292" i="3" l="1"/>
  <c r="A293" i="3"/>
  <c r="B293" i="3" s="1"/>
  <c r="F292" i="3"/>
  <c r="G292" i="3"/>
  <c r="I292" i="3" l="1"/>
  <c r="W292" i="3" s="1"/>
  <c r="J292" i="3"/>
  <c r="M292" i="3"/>
  <c r="N292" i="3" s="1"/>
  <c r="Z293" i="3"/>
  <c r="AC293" i="3"/>
  <c r="AD293" i="3"/>
  <c r="P293" i="3"/>
  <c r="Q293" i="3" s="1"/>
  <c r="R293" i="3" s="1"/>
  <c r="S293" i="3" s="1"/>
  <c r="AA293" i="3"/>
  <c r="L292" i="3" l="1"/>
  <c r="T293" i="3"/>
  <c r="U292" i="3" l="1"/>
  <c r="E293" i="3" s="1"/>
  <c r="H293" i="3" s="1"/>
  <c r="AH293" i="3"/>
  <c r="AG293" i="3"/>
  <c r="Y291" i="3"/>
  <c r="K293" i="3" l="1"/>
  <c r="AE293" i="3" s="1"/>
  <c r="D293" i="3"/>
  <c r="V293" i="3" l="1"/>
  <c r="A294" i="3"/>
  <c r="B294" i="3" s="1"/>
  <c r="F293" i="3"/>
  <c r="G293" i="3"/>
  <c r="I293" i="3" l="1"/>
  <c r="W293" i="3" s="1"/>
  <c r="J293" i="3"/>
  <c r="M293" i="3"/>
  <c r="N293" i="3" s="1"/>
  <c r="AA294" i="3"/>
  <c r="P294" i="3"/>
  <c r="Q294" i="3" s="1"/>
  <c r="R294" i="3" s="1"/>
  <c r="S294" i="3" s="1"/>
  <c r="Z294" i="3"/>
  <c r="AC294" i="3"/>
  <c r="L293" i="3" l="1"/>
  <c r="T294" i="3"/>
  <c r="AG294" i="3" l="1"/>
  <c r="U293" i="3"/>
  <c r="E294" i="3" s="1"/>
  <c r="H294" i="3" s="1"/>
  <c r="AH294" i="3"/>
  <c r="Y292" i="3"/>
  <c r="D294" i="3" l="1"/>
  <c r="G294" i="3" s="1"/>
  <c r="K294" i="3"/>
  <c r="AE294" i="3" s="1"/>
  <c r="F294" i="3" l="1"/>
  <c r="I294" i="3"/>
  <c r="J294" i="3"/>
  <c r="AD294" i="3" s="1"/>
  <c r="M294" i="3"/>
  <c r="N294" i="3" s="1"/>
  <c r="V294" i="3"/>
  <c r="A295" i="3"/>
  <c r="B295" i="3" s="1"/>
  <c r="L294" i="3" l="1"/>
  <c r="W294" i="3"/>
  <c r="AA295" i="3"/>
  <c r="AD295" i="3"/>
  <c r="P295" i="3"/>
  <c r="Q295" i="3" s="1"/>
  <c r="R295" i="3" s="1"/>
  <c r="S295" i="3" s="1"/>
  <c r="AC295" i="3"/>
  <c r="Z295" i="3"/>
  <c r="U294" i="3" l="1"/>
  <c r="Y293" i="3"/>
  <c r="T295" i="3"/>
  <c r="AG295" i="3" s="1"/>
  <c r="D295" i="3" l="1"/>
  <c r="AH295" i="3"/>
  <c r="E295" i="3"/>
  <c r="H295" i="3" s="1"/>
  <c r="F295" i="3" l="1"/>
  <c r="G295" i="3"/>
  <c r="K295" i="3"/>
  <c r="AE295" i="3" s="1"/>
  <c r="V295" i="3" l="1"/>
  <c r="A296" i="3"/>
  <c r="B296" i="3" s="1"/>
  <c r="I295" i="3"/>
  <c r="J295" i="3"/>
  <c r="M295" i="3"/>
  <c r="N295" i="3" s="1"/>
  <c r="L295" i="3" l="1"/>
  <c r="AC296" i="3"/>
  <c r="Z296" i="3"/>
  <c r="AD296" i="3"/>
  <c r="P296" i="3"/>
  <c r="Q296" i="3" s="1"/>
  <c r="R296" i="3" s="1"/>
  <c r="S296" i="3" s="1"/>
  <c r="AA296" i="3"/>
  <c r="W295" i="3"/>
  <c r="T296" i="3" l="1"/>
  <c r="U295" i="3"/>
  <c r="Y294" i="3"/>
  <c r="D296" i="3" l="1"/>
  <c r="G296" i="3" s="1"/>
  <c r="AG296" i="3"/>
  <c r="AH296" i="3"/>
  <c r="E296" i="3"/>
  <c r="H296" i="3" s="1"/>
  <c r="F296" i="3" l="1"/>
  <c r="I296" i="3"/>
  <c r="J296" i="3"/>
  <c r="M296" i="3"/>
  <c r="N296" i="3" s="1"/>
  <c r="K296" i="3"/>
  <c r="AE296" i="3" s="1"/>
  <c r="V296" i="3" l="1"/>
  <c r="W296" i="3" s="1"/>
  <c r="A297" i="3"/>
  <c r="B297" i="3" s="1"/>
  <c r="L296" i="3"/>
  <c r="U296" i="3" l="1"/>
  <c r="Y295" i="3"/>
  <c r="AA297" i="3"/>
  <c r="P297" i="3"/>
  <c r="Q297" i="3" s="1"/>
  <c r="R297" i="3" s="1"/>
  <c r="S297" i="3" s="1"/>
  <c r="Z297" i="3"/>
  <c r="AC297" i="3"/>
  <c r="AD297" i="3"/>
  <c r="T297" i="3" l="1"/>
  <c r="E297" i="3" s="1"/>
  <c r="H297" i="3" s="1"/>
  <c r="D297" i="3" l="1"/>
  <c r="F297" i="3" s="1"/>
  <c r="AG297" i="3"/>
  <c r="K297" i="3"/>
  <c r="AE297" i="3" s="1"/>
  <c r="AH297" i="3"/>
  <c r="G297" i="3" l="1"/>
  <c r="M297" i="3" s="1"/>
  <c r="N297" i="3" s="1"/>
  <c r="V297" i="3"/>
  <c r="A298" i="3"/>
  <c r="B298" i="3" s="1"/>
  <c r="J297" i="3" l="1"/>
  <c r="L297" i="3" s="1"/>
  <c r="I297" i="3"/>
  <c r="W297" i="3" s="1"/>
  <c r="Z298" i="3"/>
  <c r="AD298" i="3"/>
  <c r="P298" i="3"/>
  <c r="Q298" i="3" s="1"/>
  <c r="R298" i="3" s="1"/>
  <c r="S298" i="3" s="1"/>
  <c r="AA298" i="3"/>
  <c r="AC298" i="3"/>
  <c r="T298" i="3" l="1"/>
  <c r="U297" i="3"/>
  <c r="Y296" i="3"/>
  <c r="E298" i="3" l="1"/>
  <c r="H298" i="3" s="1"/>
  <c r="K298" i="3" s="1"/>
  <c r="AE298" i="3" s="1"/>
  <c r="AH298" i="3"/>
  <c r="D298" i="3"/>
  <c r="AG298" i="3"/>
  <c r="F298" i="3" l="1"/>
  <c r="G298" i="3"/>
  <c r="V298" i="3"/>
  <c r="A299" i="3"/>
  <c r="B299" i="3" s="1"/>
  <c r="I298" i="3" l="1"/>
  <c r="W298" i="3" s="1"/>
  <c r="J298" i="3"/>
  <c r="M298" i="3"/>
  <c r="N298" i="3" s="1"/>
  <c r="Z299" i="3"/>
  <c r="AD299" i="3"/>
  <c r="P299" i="3"/>
  <c r="Q299" i="3" s="1"/>
  <c r="R299" i="3" s="1"/>
  <c r="S299" i="3" s="1"/>
  <c r="AA299" i="3"/>
  <c r="AC299" i="3"/>
  <c r="L298" i="3" l="1"/>
  <c r="T299" i="3"/>
  <c r="AG299" i="3" l="1"/>
  <c r="U298" i="3"/>
  <c r="E299" i="3" s="1"/>
  <c r="H299" i="3" s="1"/>
  <c r="AH299" i="3"/>
  <c r="Y297" i="3"/>
  <c r="D299" i="3" l="1"/>
  <c r="G299" i="3" s="1"/>
  <c r="K299" i="3"/>
  <c r="AE299" i="3" s="1"/>
  <c r="F299" i="3" l="1"/>
  <c r="I299" i="3"/>
  <c r="J299" i="3"/>
  <c r="M299" i="3"/>
  <c r="N299" i="3" s="1"/>
  <c r="V299" i="3"/>
  <c r="A300" i="3"/>
  <c r="B300" i="3" s="1"/>
  <c r="W299" i="3" l="1"/>
  <c r="L299" i="3"/>
  <c r="Z300" i="3"/>
  <c r="P300" i="3"/>
  <c r="Q300" i="3" s="1"/>
  <c r="R300" i="3" s="1"/>
  <c r="S300" i="3" s="1"/>
  <c r="AD300" i="3"/>
  <c r="AA300" i="3"/>
  <c r="AC300" i="3"/>
  <c r="U299" i="3" l="1"/>
  <c r="Y298" i="3"/>
  <c r="T300" i="3"/>
  <c r="E300" i="3" l="1"/>
  <c r="H300" i="3" s="1"/>
  <c r="K300" i="3" s="1"/>
  <c r="AE300" i="3" s="1"/>
  <c r="AH300" i="3"/>
  <c r="AG300" i="3"/>
  <c r="D300" i="3"/>
  <c r="F300" i="3" l="1"/>
  <c r="G300" i="3"/>
  <c r="V300" i="3"/>
  <c r="A301" i="3"/>
  <c r="B301" i="3" s="1"/>
  <c r="I300" i="3" l="1"/>
  <c r="W300" i="3" s="1"/>
  <c r="J300" i="3"/>
  <c r="M300" i="3"/>
  <c r="N300" i="3" s="1"/>
  <c r="AC301" i="3"/>
  <c r="Z301" i="3"/>
  <c r="AD301" i="3"/>
  <c r="AA301" i="3"/>
  <c r="P301" i="3"/>
  <c r="Q301" i="3" s="1"/>
  <c r="R301" i="3" s="1"/>
  <c r="S301" i="3" s="1"/>
  <c r="L300" i="3" l="1"/>
  <c r="T301" i="3"/>
  <c r="AH301" i="3" l="1"/>
  <c r="U300" i="3"/>
  <c r="D301" i="3" s="1"/>
  <c r="AG301" i="3"/>
  <c r="Y299" i="3"/>
  <c r="E301" i="3" l="1"/>
  <c r="H301" i="3" s="1"/>
  <c r="K301" i="3" s="1"/>
  <c r="AE301" i="3" s="1"/>
  <c r="G301" i="3"/>
  <c r="F301" i="3" l="1"/>
  <c r="I301" i="3"/>
  <c r="J301" i="3"/>
  <c r="M301" i="3"/>
  <c r="N301" i="3" s="1"/>
  <c r="V301" i="3"/>
  <c r="A302" i="3"/>
  <c r="B302" i="3" s="1"/>
  <c r="W301" i="3" l="1"/>
  <c r="L301" i="3"/>
  <c r="P302" i="3"/>
  <c r="Q302" i="3" s="1"/>
  <c r="R302" i="3" s="1"/>
  <c r="S302" i="3" s="1"/>
  <c r="AA302" i="3"/>
  <c r="AC302" i="3"/>
  <c r="AD302" i="3"/>
  <c r="Z302" i="3"/>
  <c r="U301" i="3" l="1"/>
  <c r="Y300" i="3"/>
  <c r="T302" i="3"/>
  <c r="AG302" i="3" s="1"/>
  <c r="AH302" i="3" l="1"/>
  <c r="D302" i="3"/>
  <c r="E302" i="3"/>
  <c r="H302" i="3" s="1"/>
  <c r="K302" i="3" s="1"/>
  <c r="AE302" i="3" s="1"/>
  <c r="F302" i="3" l="1"/>
  <c r="G302" i="3"/>
  <c r="M302" i="3" s="1"/>
  <c r="N302" i="3" s="1"/>
  <c r="V302" i="3"/>
  <c r="A303" i="3"/>
  <c r="B303" i="3" s="1"/>
  <c r="I302" i="3" l="1"/>
  <c r="W302" i="3" s="1"/>
  <c r="J302" i="3"/>
  <c r="L302" i="3" s="1"/>
  <c r="AD303" i="3"/>
  <c r="Z303" i="3"/>
  <c r="P303" i="3"/>
  <c r="Q303" i="3" s="1"/>
  <c r="R303" i="3" s="1"/>
  <c r="S303" i="3" s="1"/>
  <c r="AA303" i="3"/>
  <c r="AC303" i="3"/>
  <c r="T303" i="3" l="1"/>
  <c r="U302" i="3"/>
  <c r="Y301" i="3"/>
  <c r="E303" i="3" l="1"/>
  <c r="H303" i="3" s="1"/>
  <c r="K303" i="3" s="1"/>
  <c r="AE303" i="3" s="1"/>
  <c r="D303" i="3"/>
  <c r="G303" i="3" s="1"/>
  <c r="AH303" i="3"/>
  <c r="AG303" i="3"/>
  <c r="F303" i="3" l="1"/>
  <c r="I303" i="3"/>
  <c r="J303" i="3"/>
  <c r="M303" i="3"/>
  <c r="N303" i="3" s="1"/>
  <c r="V303" i="3"/>
  <c r="A304" i="3"/>
  <c r="B304" i="3" s="1"/>
  <c r="W303" i="3" l="1"/>
  <c r="L303" i="3"/>
  <c r="Z304" i="3"/>
  <c r="P304" i="3"/>
  <c r="Q304" i="3" s="1"/>
  <c r="R304" i="3" s="1"/>
  <c r="S304" i="3" s="1"/>
  <c r="AC304" i="3"/>
  <c r="AA304" i="3"/>
  <c r="U303" i="3" l="1"/>
  <c r="Y302" i="3"/>
  <c r="T304" i="3"/>
  <c r="AH304" i="3" s="1"/>
  <c r="AG304" i="3" l="1"/>
  <c r="D304" i="3"/>
  <c r="G304" i="3" s="1"/>
  <c r="E304" i="3"/>
  <c r="H304" i="3" s="1"/>
  <c r="K304" i="3" s="1"/>
  <c r="AE304" i="3" s="1"/>
  <c r="F304" i="3" l="1"/>
  <c r="I304" i="3"/>
  <c r="J304" i="3"/>
  <c r="AD304" i="3" s="1"/>
  <c r="M304" i="3"/>
  <c r="N304" i="3" s="1"/>
  <c r="V304" i="3"/>
  <c r="A305" i="3"/>
  <c r="B305" i="3" s="1"/>
  <c r="W304" i="3" l="1"/>
  <c r="L304" i="3"/>
  <c r="Z305" i="3"/>
  <c r="AA305" i="3"/>
  <c r="P305" i="3"/>
  <c r="Q305" i="3" s="1"/>
  <c r="R305" i="3" s="1"/>
  <c r="S305" i="3" s="1"/>
  <c r="AC305" i="3"/>
  <c r="AD305" i="3"/>
  <c r="U304" i="3" l="1"/>
  <c r="Y303" i="3"/>
  <c r="T305" i="3"/>
  <c r="AG305" i="3" s="1"/>
  <c r="AH305" i="3" l="1"/>
  <c r="E305" i="3"/>
  <c r="H305" i="3" s="1"/>
  <c r="K305" i="3" s="1"/>
  <c r="AE305" i="3" s="1"/>
  <c r="D305" i="3"/>
  <c r="V305" i="3" l="1"/>
  <c r="A306" i="3"/>
  <c r="B306" i="3" s="1"/>
  <c r="F305" i="3"/>
  <c r="G305" i="3"/>
  <c r="I305" i="3" l="1"/>
  <c r="W305" i="3" s="1"/>
  <c r="J305" i="3"/>
  <c r="M305" i="3"/>
  <c r="N305" i="3" s="1"/>
  <c r="AA306" i="3"/>
  <c r="Z306" i="3"/>
  <c r="P306" i="3"/>
  <c r="Q306" i="3" s="1"/>
  <c r="R306" i="3" s="1"/>
  <c r="S306" i="3" s="1"/>
  <c r="AC306" i="3"/>
  <c r="AD306" i="3"/>
  <c r="T306" i="3" l="1"/>
  <c r="L305" i="3"/>
  <c r="U305" i="3" l="1"/>
  <c r="E306" i="3" s="1"/>
  <c r="H306" i="3" s="1"/>
  <c r="AH306" i="3"/>
  <c r="AG306" i="3"/>
  <c r="Y304" i="3"/>
  <c r="D306" i="3" l="1"/>
  <c r="G306" i="3" s="1"/>
  <c r="K306" i="3"/>
  <c r="AE306" i="3" s="1"/>
  <c r="F306" i="3" l="1"/>
  <c r="I306" i="3"/>
  <c r="J306" i="3"/>
  <c r="M306" i="3"/>
  <c r="N306" i="3" s="1"/>
  <c r="V306" i="3"/>
  <c r="A307" i="3"/>
  <c r="B307" i="3" s="1"/>
  <c r="W306" i="3" l="1"/>
  <c r="L306" i="3"/>
  <c r="AC307" i="3"/>
  <c r="P307" i="3"/>
  <c r="Q307" i="3" s="1"/>
  <c r="R307" i="3" s="1"/>
  <c r="S307" i="3" s="1"/>
  <c r="AA307" i="3"/>
  <c r="Z307" i="3"/>
  <c r="AD307" i="3"/>
  <c r="T307" i="3" l="1"/>
  <c r="AH307" i="3" s="1"/>
  <c r="U306" i="3"/>
  <c r="Y305" i="3"/>
  <c r="D307" i="3" l="1"/>
  <c r="E307" i="3"/>
  <c r="H307" i="3" s="1"/>
  <c r="AG307" i="3"/>
  <c r="F307" i="3" l="1"/>
  <c r="G307" i="3"/>
  <c r="K307" i="3"/>
  <c r="AE307" i="3" s="1"/>
  <c r="I307" i="3" l="1"/>
  <c r="J307" i="3"/>
  <c r="M307" i="3"/>
  <c r="N307" i="3" s="1"/>
  <c r="V307" i="3"/>
  <c r="A308" i="3"/>
  <c r="B308" i="3" s="1"/>
  <c r="L307" i="3" l="1"/>
  <c r="Z308" i="3"/>
  <c r="AD308" i="3"/>
  <c r="AA308" i="3"/>
  <c r="P308" i="3"/>
  <c r="Q308" i="3" s="1"/>
  <c r="R308" i="3" s="1"/>
  <c r="S308" i="3" s="1"/>
  <c r="AC308" i="3"/>
  <c r="W307" i="3"/>
  <c r="T308" i="3" l="1"/>
  <c r="U307" i="3"/>
  <c r="Y306" i="3"/>
  <c r="E308" i="3" l="1"/>
  <c r="H308" i="3" s="1"/>
  <c r="K308" i="3" s="1"/>
  <c r="AE308" i="3" s="1"/>
  <c r="AH308" i="3"/>
  <c r="AG308" i="3"/>
  <c r="D308" i="3"/>
  <c r="F308" i="3" l="1"/>
  <c r="G308" i="3"/>
  <c r="V308" i="3"/>
  <c r="A309" i="3"/>
  <c r="B309" i="3" s="1"/>
  <c r="I308" i="3" l="1"/>
  <c r="W308" i="3" s="1"/>
  <c r="J308" i="3"/>
  <c r="M308" i="3"/>
  <c r="N308" i="3" s="1"/>
  <c r="AC309" i="3"/>
  <c r="AD309" i="3"/>
  <c r="P309" i="3"/>
  <c r="Q309" i="3" s="1"/>
  <c r="R309" i="3" s="1"/>
  <c r="S309" i="3" s="1"/>
  <c r="AA309" i="3"/>
  <c r="Z309" i="3"/>
  <c r="T309" i="3" l="1"/>
  <c r="L308" i="3"/>
  <c r="AG309" i="3" l="1"/>
  <c r="AH309" i="3"/>
  <c r="U308" i="3"/>
  <c r="E309" i="3" s="1"/>
  <c r="H309" i="3" s="1"/>
  <c r="Y307" i="3"/>
  <c r="D309" i="3" l="1"/>
  <c r="G309" i="3" s="1"/>
  <c r="K309" i="3"/>
  <c r="AE309" i="3" s="1"/>
  <c r="F309" i="3" l="1"/>
  <c r="V309" i="3"/>
  <c r="A310" i="3"/>
  <c r="B310" i="3" s="1"/>
  <c r="I309" i="3"/>
  <c r="J309" i="3"/>
  <c r="M309" i="3"/>
  <c r="N309" i="3" s="1"/>
  <c r="W309" i="3" l="1"/>
  <c r="L309" i="3"/>
  <c r="AC310" i="3"/>
  <c r="AD310" i="3"/>
  <c r="Z310" i="3"/>
  <c r="AA310" i="3"/>
  <c r="P310" i="3"/>
  <c r="Q310" i="3" s="1"/>
  <c r="R310" i="3" s="1"/>
  <c r="S310" i="3" s="1"/>
  <c r="T310" i="3" l="1"/>
  <c r="AH310" i="3" s="1"/>
  <c r="U309" i="3"/>
  <c r="Y308" i="3"/>
  <c r="AG310" i="3" l="1"/>
  <c r="E310" i="3"/>
  <c r="H310" i="3" s="1"/>
  <c r="D310" i="3"/>
  <c r="K310" i="3" l="1"/>
  <c r="AE310" i="3" s="1"/>
  <c r="F310" i="3"/>
  <c r="G310" i="3"/>
  <c r="I310" i="3" l="1"/>
  <c r="J310" i="3"/>
  <c r="M310" i="3"/>
  <c r="N310" i="3" s="1"/>
  <c r="V310" i="3"/>
  <c r="A311" i="3"/>
  <c r="B311" i="3" s="1"/>
  <c r="W310" i="3" l="1"/>
  <c r="L310" i="3"/>
  <c r="AA311" i="3"/>
  <c r="Z311" i="3"/>
  <c r="P311" i="3"/>
  <c r="Q311" i="3" s="1"/>
  <c r="R311" i="3" s="1"/>
  <c r="S311" i="3" s="1"/>
  <c r="AC311" i="3"/>
  <c r="AD311" i="3"/>
  <c r="T311" i="3" l="1"/>
  <c r="AH311" i="3" s="1"/>
  <c r="U310" i="3"/>
  <c r="Y309" i="3"/>
  <c r="D311" i="3" l="1"/>
  <c r="G311" i="3" s="1"/>
  <c r="E311" i="3"/>
  <c r="H311" i="3" s="1"/>
  <c r="AG311" i="3"/>
  <c r="I311" i="3" l="1"/>
  <c r="J311" i="3"/>
  <c r="M311" i="3"/>
  <c r="N311" i="3" s="1"/>
  <c r="K311" i="3"/>
  <c r="AE311" i="3" s="1"/>
  <c r="F311" i="3"/>
  <c r="V311" i="3" l="1"/>
  <c r="W311" i="3" s="1"/>
  <c r="A312" i="3"/>
  <c r="B312" i="3" s="1"/>
  <c r="L311" i="3"/>
  <c r="U311" i="3" l="1"/>
  <c r="Y310" i="3"/>
  <c r="AA312" i="3"/>
  <c r="Z312" i="3"/>
  <c r="AD312" i="3"/>
  <c r="P312" i="3"/>
  <c r="Q312" i="3" s="1"/>
  <c r="R312" i="3" s="1"/>
  <c r="S312" i="3" s="1"/>
  <c r="AC312" i="3"/>
  <c r="T312" i="3" l="1"/>
  <c r="AG312" i="3" s="1"/>
  <c r="E312" i="3" l="1"/>
  <c r="H312" i="3" s="1"/>
  <c r="K312" i="3" s="1"/>
  <c r="AE312" i="3" s="1"/>
  <c r="D312" i="3"/>
  <c r="AH312" i="3"/>
  <c r="V312" i="3" l="1"/>
  <c r="A313" i="3"/>
  <c r="B313" i="3" s="1"/>
  <c r="F312" i="3"/>
  <c r="G312" i="3"/>
  <c r="I312" i="3" l="1"/>
  <c r="W312" i="3" s="1"/>
  <c r="J312" i="3"/>
  <c r="M312" i="3"/>
  <c r="N312" i="3" s="1"/>
  <c r="Z313" i="3"/>
  <c r="AC313" i="3"/>
  <c r="P313" i="3"/>
  <c r="Q313" i="3" s="1"/>
  <c r="R313" i="3" s="1"/>
  <c r="S313" i="3" s="1"/>
  <c r="AD313" i="3"/>
  <c r="AA313" i="3"/>
  <c r="T313" i="3" l="1"/>
  <c r="L312" i="3"/>
  <c r="AG313" i="3" l="1"/>
  <c r="AH313" i="3"/>
  <c r="U312" i="3"/>
  <c r="D313" i="3" s="1"/>
  <c r="Y311" i="3"/>
  <c r="E313" i="3" l="1"/>
  <c r="H313" i="3" s="1"/>
  <c r="K313" i="3" s="1"/>
  <c r="AE313" i="3" s="1"/>
  <c r="G313" i="3"/>
  <c r="F313" i="3" l="1"/>
  <c r="I313" i="3"/>
  <c r="J313" i="3"/>
  <c r="M313" i="3"/>
  <c r="N313" i="3" s="1"/>
  <c r="V313" i="3"/>
  <c r="A314" i="3"/>
  <c r="B314" i="3" s="1"/>
  <c r="Z314" i="3" l="1"/>
  <c r="AC314" i="3"/>
  <c r="AA314" i="3"/>
  <c r="P314" i="3"/>
  <c r="Q314" i="3" s="1"/>
  <c r="R314" i="3" s="1"/>
  <c r="S314" i="3" s="1"/>
  <c r="L313" i="3"/>
  <c r="W313" i="3"/>
  <c r="U313" i="3" l="1"/>
  <c r="Y312" i="3"/>
  <c r="T314" i="3"/>
  <c r="D314" i="3" l="1"/>
  <c r="G314" i="3" s="1"/>
  <c r="AG314" i="3"/>
  <c r="AH314" i="3"/>
  <c r="E314" i="3"/>
  <c r="H314" i="3" s="1"/>
  <c r="F314" i="3" l="1"/>
  <c r="I314" i="3"/>
  <c r="J314" i="3"/>
  <c r="AD314" i="3" s="1"/>
  <c r="M314" i="3"/>
  <c r="N314" i="3" s="1"/>
  <c r="K314" i="3"/>
  <c r="AE314" i="3" s="1"/>
  <c r="V314" i="3" l="1"/>
  <c r="W314" i="3" s="1"/>
  <c r="A315" i="3"/>
  <c r="B315" i="3" s="1"/>
  <c r="L314" i="3"/>
  <c r="U314" i="3" l="1"/>
  <c r="Y313" i="3"/>
  <c r="Z315" i="3"/>
  <c r="P315" i="3"/>
  <c r="Q315" i="3" s="1"/>
  <c r="R315" i="3" s="1"/>
  <c r="S315" i="3" s="1"/>
  <c r="AD315" i="3"/>
  <c r="AA315" i="3"/>
  <c r="AC315" i="3"/>
  <c r="T315" i="3" l="1"/>
  <c r="D315" i="3" s="1"/>
  <c r="AH315" i="3" l="1"/>
  <c r="AG315" i="3"/>
  <c r="E315" i="3"/>
  <c r="H315" i="3" s="1"/>
  <c r="K315" i="3" s="1"/>
  <c r="AE315" i="3" s="1"/>
  <c r="G315" i="3"/>
  <c r="F315" i="3" l="1"/>
  <c r="I315" i="3"/>
  <c r="J315" i="3"/>
  <c r="M315" i="3"/>
  <c r="N315" i="3" s="1"/>
  <c r="V315" i="3"/>
  <c r="A316" i="3"/>
  <c r="B316" i="3" s="1"/>
  <c r="W315" i="3" l="1"/>
  <c r="L315" i="3"/>
  <c r="Z316" i="3"/>
  <c r="AC316" i="3"/>
  <c r="P316" i="3"/>
  <c r="Q316" i="3" s="1"/>
  <c r="R316" i="3" s="1"/>
  <c r="S316" i="3" s="1"/>
  <c r="AD316" i="3"/>
  <c r="AA316" i="3"/>
  <c r="U315" i="3" l="1"/>
  <c r="Y314" i="3"/>
  <c r="T316" i="3"/>
  <c r="AG316" i="3" s="1"/>
  <c r="D316" i="3" l="1"/>
  <c r="AH316" i="3"/>
  <c r="E316" i="3"/>
  <c r="H316" i="3" s="1"/>
  <c r="F316" i="3" l="1"/>
  <c r="G316" i="3"/>
  <c r="K316" i="3"/>
  <c r="AE316" i="3" s="1"/>
  <c r="V316" i="3" l="1"/>
  <c r="A317" i="3"/>
  <c r="B317" i="3" s="1"/>
  <c r="I316" i="3"/>
  <c r="J316" i="3"/>
  <c r="M316" i="3"/>
  <c r="N316" i="3" s="1"/>
  <c r="W316" i="3" l="1"/>
  <c r="L316" i="3"/>
  <c r="Z317" i="3"/>
  <c r="AA317" i="3"/>
  <c r="P317" i="3"/>
  <c r="Q317" i="3" s="1"/>
  <c r="R317" i="3" s="1"/>
  <c r="S317" i="3" s="1"/>
  <c r="AD317" i="3"/>
  <c r="AC317" i="3"/>
  <c r="T317" i="3" l="1"/>
  <c r="AG317" i="3" s="1"/>
  <c r="U316" i="3"/>
  <c r="Y315" i="3"/>
  <c r="E317" i="3" l="1"/>
  <c r="H317" i="3" s="1"/>
  <c r="K317" i="3" s="1"/>
  <c r="AE317" i="3" s="1"/>
  <c r="D317" i="3"/>
  <c r="AH317" i="3"/>
  <c r="V317" i="3" l="1"/>
  <c r="A318" i="3"/>
  <c r="B318" i="3" s="1"/>
  <c r="F317" i="3"/>
  <c r="G317" i="3"/>
  <c r="I317" i="3" l="1"/>
  <c r="W317" i="3" s="1"/>
  <c r="J317" i="3"/>
  <c r="M317" i="3"/>
  <c r="N317" i="3" s="1"/>
  <c r="AA318" i="3"/>
  <c r="P318" i="3"/>
  <c r="Q318" i="3" s="1"/>
  <c r="R318" i="3" s="1"/>
  <c r="S318" i="3" s="1"/>
  <c r="Z318" i="3"/>
  <c r="AC318" i="3"/>
  <c r="AD318" i="3"/>
  <c r="T318" i="3" l="1"/>
  <c r="L317" i="3"/>
  <c r="AH318" i="3" l="1"/>
  <c r="AG318" i="3"/>
  <c r="U317" i="3"/>
  <c r="E318" i="3" s="1"/>
  <c r="H318" i="3" s="1"/>
  <c r="Y316" i="3"/>
  <c r="K318" i="3" l="1"/>
  <c r="AE318" i="3" s="1"/>
  <c r="D318" i="3"/>
  <c r="V318" i="3" l="1"/>
  <c r="A319" i="3"/>
  <c r="B319" i="3" s="1"/>
  <c r="F318" i="3"/>
  <c r="G318" i="3"/>
  <c r="I318" i="3" l="1"/>
  <c r="W318" i="3" s="1"/>
  <c r="J318" i="3"/>
  <c r="M318" i="3"/>
  <c r="N318" i="3" s="1"/>
  <c r="Z319" i="3"/>
  <c r="AC319" i="3"/>
  <c r="P319" i="3"/>
  <c r="Q319" i="3" s="1"/>
  <c r="R319" i="3" s="1"/>
  <c r="S319" i="3" s="1"/>
  <c r="AD319" i="3"/>
  <c r="AA319" i="3"/>
  <c r="T319" i="3" l="1"/>
  <c r="L318" i="3"/>
  <c r="U318" i="3" l="1"/>
  <c r="E319" i="3" s="1"/>
  <c r="H319" i="3" s="1"/>
  <c r="AH319" i="3"/>
  <c r="AG319" i="3"/>
  <c r="Y317" i="3"/>
  <c r="D319" i="3" l="1"/>
  <c r="G319" i="3" s="1"/>
  <c r="K319" i="3"/>
  <c r="AE319" i="3" s="1"/>
  <c r="F319" i="3" l="1"/>
  <c r="V319" i="3"/>
  <c r="A320" i="3"/>
  <c r="B320" i="3" s="1"/>
  <c r="I319" i="3"/>
  <c r="J319" i="3"/>
  <c r="M319" i="3"/>
  <c r="N319" i="3" s="1"/>
  <c r="L319" i="3" l="1"/>
  <c r="W319" i="3"/>
  <c r="AA320" i="3"/>
  <c r="AC320" i="3"/>
  <c r="P320" i="3"/>
  <c r="Q320" i="3" s="1"/>
  <c r="R320" i="3" s="1"/>
  <c r="S320" i="3" s="1"/>
  <c r="Z320" i="3"/>
  <c r="AD320" i="3"/>
  <c r="U319" i="3" l="1"/>
  <c r="Y318" i="3"/>
  <c r="T320" i="3"/>
  <c r="AH320" i="3" s="1"/>
  <c r="D320" i="3" l="1"/>
  <c r="AG320" i="3"/>
  <c r="E320" i="3"/>
  <c r="H320" i="3" s="1"/>
  <c r="F320" i="3" l="1"/>
  <c r="G320" i="3"/>
  <c r="K320" i="3"/>
  <c r="AE320" i="3" s="1"/>
  <c r="I320" i="3" l="1"/>
  <c r="J320" i="3"/>
  <c r="M320" i="3"/>
  <c r="N320" i="3" s="1"/>
  <c r="V320" i="3"/>
  <c r="A321" i="3"/>
  <c r="B321" i="3" s="1"/>
  <c r="W320" i="3" l="1"/>
  <c r="L320" i="3"/>
  <c r="AC321" i="3"/>
  <c r="AA321" i="3"/>
  <c r="Z321" i="3"/>
  <c r="P321" i="3"/>
  <c r="Q321" i="3" s="1"/>
  <c r="R321" i="3" s="1"/>
  <c r="S321" i="3" s="1"/>
  <c r="AD321" i="3"/>
  <c r="U320" i="3" l="1"/>
  <c r="Y319" i="3"/>
  <c r="T321" i="3"/>
  <c r="D321" i="3" l="1"/>
  <c r="G321" i="3" s="1"/>
  <c r="AH321" i="3"/>
  <c r="E321" i="3"/>
  <c r="H321" i="3" s="1"/>
  <c r="AG321" i="3"/>
  <c r="F321" i="3" l="1"/>
  <c r="I321" i="3"/>
  <c r="J321" i="3"/>
  <c r="M321" i="3"/>
  <c r="N321" i="3" s="1"/>
  <c r="K321" i="3"/>
  <c r="AE321" i="3" s="1"/>
  <c r="V321" i="3" l="1"/>
  <c r="W321" i="3" s="1"/>
  <c r="A322" i="3"/>
  <c r="B322" i="3" s="1"/>
  <c r="L321" i="3"/>
  <c r="U321" i="3" l="1"/>
  <c r="Y320" i="3"/>
  <c r="P322" i="3"/>
  <c r="Q322" i="3" s="1"/>
  <c r="R322" i="3" s="1"/>
  <c r="S322" i="3" s="1"/>
  <c r="Z322" i="3"/>
  <c r="AC322" i="3"/>
  <c r="AD322" i="3"/>
  <c r="AA322" i="3"/>
  <c r="T322" i="3" l="1"/>
  <c r="AH322" i="3" s="1"/>
  <c r="E322" i="3" l="1"/>
  <c r="H322" i="3" s="1"/>
  <c r="K322" i="3" s="1"/>
  <c r="AE322" i="3" s="1"/>
  <c r="AG322" i="3"/>
  <c r="D322" i="3"/>
  <c r="V322" i="3" l="1"/>
  <c r="A323" i="3"/>
  <c r="B323" i="3" s="1"/>
  <c r="F322" i="3"/>
  <c r="G322" i="3"/>
  <c r="I322" i="3" l="1"/>
  <c r="W322" i="3" s="1"/>
  <c r="J322" i="3"/>
  <c r="M322" i="3"/>
  <c r="N322" i="3" s="1"/>
  <c r="P323" i="3"/>
  <c r="Q323" i="3" s="1"/>
  <c r="R323" i="3" s="1"/>
  <c r="S323" i="3" s="1"/>
  <c r="AA323" i="3"/>
  <c r="Z323" i="3"/>
  <c r="AD323" i="3"/>
  <c r="AC323" i="3"/>
  <c r="T323" i="3" l="1"/>
  <c r="L322" i="3"/>
  <c r="AH323" i="3" l="1"/>
  <c r="U322" i="3"/>
  <c r="D323" i="3" s="1"/>
  <c r="AG323" i="3"/>
  <c r="Y321" i="3"/>
  <c r="G323" i="3" l="1"/>
  <c r="E323" i="3"/>
  <c r="H323" i="3" s="1"/>
  <c r="F323" i="3" l="1"/>
  <c r="K323" i="3"/>
  <c r="AE323" i="3" s="1"/>
  <c r="I323" i="3"/>
  <c r="J323" i="3"/>
  <c r="M323" i="3"/>
  <c r="N323" i="3" s="1"/>
  <c r="L323" i="3" l="1"/>
  <c r="V323" i="3"/>
  <c r="W323" i="3" s="1"/>
  <c r="A324" i="3"/>
  <c r="B324" i="3" s="1"/>
  <c r="U323" i="3" l="1"/>
  <c r="Y322" i="3"/>
  <c r="Z324" i="3"/>
  <c r="P324" i="3"/>
  <c r="Q324" i="3" s="1"/>
  <c r="R324" i="3" s="1"/>
  <c r="S324" i="3" s="1"/>
  <c r="AA324" i="3"/>
  <c r="AC324" i="3"/>
  <c r="T324" i="3" l="1"/>
  <c r="AG324" i="3" s="1"/>
  <c r="E324" i="3" l="1"/>
  <c r="H324" i="3" s="1"/>
  <c r="K324" i="3" s="1"/>
  <c r="AE324" i="3" s="1"/>
  <c r="AH324" i="3"/>
  <c r="D324" i="3"/>
  <c r="V324" i="3" l="1"/>
  <c r="A325" i="3"/>
  <c r="B325" i="3" s="1"/>
  <c r="F324" i="3"/>
  <c r="G324" i="3"/>
  <c r="I324" i="3" l="1"/>
  <c r="W324" i="3" s="1"/>
  <c r="J324" i="3"/>
  <c r="AD324" i="3" s="1"/>
  <c r="M324" i="3"/>
  <c r="N324" i="3" s="1"/>
  <c r="P325" i="3"/>
  <c r="Q325" i="3" s="1"/>
  <c r="R325" i="3" s="1"/>
  <c r="S325" i="3" s="1"/>
  <c r="AC325" i="3"/>
  <c r="Z325" i="3"/>
  <c r="AA325" i="3"/>
  <c r="T325" i="3" l="1"/>
  <c r="L324" i="3"/>
  <c r="AG325" i="3" l="1"/>
  <c r="U324" i="3"/>
  <c r="D325" i="3" s="1"/>
  <c r="AH325" i="3"/>
  <c r="Y323" i="3"/>
  <c r="E325" i="3" l="1"/>
  <c r="H325" i="3" s="1"/>
  <c r="K325" i="3" s="1"/>
  <c r="AE325" i="3" s="1"/>
  <c r="G325" i="3"/>
  <c r="F325" i="3" l="1"/>
  <c r="V325" i="3"/>
  <c r="A326" i="3"/>
  <c r="B326" i="3" s="1"/>
  <c r="I325" i="3"/>
  <c r="J325" i="3"/>
  <c r="AD325" i="3" s="1"/>
  <c r="M325" i="3"/>
  <c r="N325" i="3" s="1"/>
  <c r="L325" i="3" l="1"/>
  <c r="W325" i="3"/>
  <c r="P326" i="3"/>
  <c r="Q326" i="3" s="1"/>
  <c r="R326" i="3" s="1"/>
  <c r="S326" i="3" s="1"/>
  <c r="AA326" i="3"/>
  <c r="AC326" i="3"/>
  <c r="Z326" i="3"/>
  <c r="U325" i="3" l="1"/>
  <c r="Y324" i="3"/>
  <c r="T326" i="3"/>
  <c r="AH326" i="3" s="1"/>
  <c r="E326" i="3" l="1"/>
  <c r="H326" i="3" s="1"/>
  <c r="K326" i="3" s="1"/>
  <c r="AE326" i="3" s="1"/>
  <c r="AG326" i="3"/>
  <c r="D326" i="3"/>
  <c r="G326" i="3" s="1"/>
  <c r="F326" i="3" l="1"/>
  <c r="I326" i="3"/>
  <c r="J326" i="3"/>
  <c r="AD326" i="3" s="1"/>
  <c r="M326" i="3"/>
  <c r="N326" i="3" s="1"/>
  <c r="V326" i="3"/>
  <c r="A327" i="3"/>
  <c r="B327" i="3" s="1"/>
  <c r="W326" i="3" l="1"/>
  <c r="L326" i="3"/>
  <c r="Z327" i="3"/>
  <c r="AA327" i="3"/>
  <c r="P327" i="3"/>
  <c r="Q327" i="3" s="1"/>
  <c r="R327" i="3" s="1"/>
  <c r="S327" i="3" s="1"/>
  <c r="AC327" i="3"/>
  <c r="U326" i="3" l="1"/>
  <c r="Y325" i="3"/>
  <c r="T327" i="3"/>
  <c r="AH327" i="3" s="1"/>
  <c r="E327" i="3" l="1"/>
  <c r="H327" i="3" s="1"/>
  <c r="K327" i="3" s="1"/>
  <c r="AE327" i="3" s="1"/>
  <c r="D327" i="3"/>
  <c r="AG327" i="3"/>
  <c r="F327" i="3" l="1"/>
  <c r="G327" i="3"/>
  <c r="M327" i="3" s="1"/>
  <c r="N327" i="3" s="1"/>
  <c r="V327" i="3"/>
  <c r="A328" i="3"/>
  <c r="B328" i="3" s="1"/>
  <c r="I327" i="3" l="1"/>
  <c r="W327" i="3" s="1"/>
  <c r="J327" i="3"/>
  <c r="Z328" i="3"/>
  <c r="P328" i="3"/>
  <c r="Q328" i="3" s="1"/>
  <c r="R328" i="3" s="1"/>
  <c r="S328" i="3" s="1"/>
  <c r="AA328" i="3"/>
  <c r="AC328" i="3"/>
  <c r="L327" i="3" l="1"/>
  <c r="U327" i="3" s="1"/>
  <c r="AD327" i="3"/>
  <c r="T328" i="3"/>
  <c r="AG328" i="3" l="1"/>
  <c r="Y326" i="3"/>
  <c r="AH328" i="3"/>
  <c r="E328" i="3"/>
  <c r="H328" i="3" s="1"/>
  <c r="K328" i="3" s="1"/>
  <c r="AE328" i="3" s="1"/>
  <c r="D328" i="3"/>
  <c r="V328" i="3" l="1"/>
  <c r="A329" i="3"/>
  <c r="B329" i="3" s="1"/>
  <c r="F328" i="3"/>
  <c r="G328" i="3"/>
  <c r="I328" i="3" l="1"/>
  <c r="W328" i="3" s="1"/>
  <c r="J328" i="3"/>
  <c r="AD328" i="3" s="1"/>
  <c r="M328" i="3"/>
  <c r="N328" i="3" s="1"/>
  <c r="P329" i="3"/>
  <c r="Q329" i="3" s="1"/>
  <c r="R329" i="3" s="1"/>
  <c r="S329" i="3" s="1"/>
  <c r="Z329" i="3"/>
  <c r="AC329" i="3"/>
  <c r="AA329" i="3"/>
  <c r="T329" i="3" l="1"/>
  <c r="L328" i="3"/>
  <c r="AH329" i="3" l="1"/>
  <c r="U328" i="3"/>
  <c r="D329" i="3" s="1"/>
  <c r="AG329" i="3"/>
  <c r="Y327" i="3"/>
  <c r="E329" i="3" l="1"/>
  <c r="H329" i="3" s="1"/>
  <c r="K329" i="3" s="1"/>
  <c r="AE329" i="3" s="1"/>
  <c r="G329" i="3"/>
  <c r="F329" i="3" l="1"/>
  <c r="I329" i="3"/>
  <c r="J329" i="3"/>
  <c r="AD329" i="3" s="1"/>
  <c r="M329" i="3"/>
  <c r="N329" i="3" s="1"/>
  <c r="V329" i="3"/>
  <c r="A330" i="3"/>
  <c r="B330" i="3" s="1"/>
  <c r="W329" i="3" l="1"/>
  <c r="L329" i="3"/>
  <c r="AA330" i="3"/>
  <c r="AC330" i="3"/>
  <c r="P330" i="3"/>
  <c r="Q330" i="3" s="1"/>
  <c r="R330" i="3" s="1"/>
  <c r="S330" i="3" s="1"/>
  <c r="Z330" i="3"/>
  <c r="U329" i="3" l="1"/>
  <c r="Y328" i="3"/>
  <c r="T330" i="3"/>
  <c r="AH330" i="3" s="1"/>
  <c r="AG330" i="3" l="1"/>
  <c r="E330" i="3"/>
  <c r="H330" i="3" s="1"/>
  <c r="D330" i="3"/>
  <c r="K330" i="3" l="1"/>
  <c r="AE330" i="3" s="1"/>
  <c r="F330" i="3"/>
  <c r="G330" i="3"/>
  <c r="I330" i="3" l="1"/>
  <c r="J330" i="3"/>
  <c r="AD330" i="3" s="1"/>
  <c r="M330" i="3"/>
  <c r="N330" i="3" s="1"/>
  <c r="V330" i="3"/>
  <c r="A331" i="3"/>
  <c r="B331" i="3" s="1"/>
  <c r="W330" i="3" l="1"/>
  <c r="L330" i="3"/>
  <c r="P331" i="3"/>
  <c r="Q331" i="3" s="1"/>
  <c r="R331" i="3" s="1"/>
  <c r="S331" i="3" s="1"/>
  <c r="AA331" i="3"/>
  <c r="AC331" i="3"/>
  <c r="Z331" i="3"/>
  <c r="U330" i="3" l="1"/>
  <c r="Y329" i="3"/>
  <c r="T331" i="3"/>
  <c r="D331" i="3" l="1"/>
  <c r="G331" i="3" s="1"/>
  <c r="AH331" i="3"/>
  <c r="AG331" i="3"/>
  <c r="E331" i="3"/>
  <c r="H331" i="3" s="1"/>
  <c r="F331" i="3" l="1"/>
  <c r="I331" i="3"/>
  <c r="J331" i="3"/>
  <c r="AD331" i="3" s="1"/>
  <c r="M331" i="3"/>
  <c r="N331" i="3" s="1"/>
  <c r="K331" i="3"/>
  <c r="AE331" i="3" s="1"/>
  <c r="V331" i="3" l="1"/>
  <c r="W331" i="3" s="1"/>
  <c r="A332" i="3"/>
  <c r="B332" i="3" s="1"/>
  <c r="L331" i="3"/>
  <c r="U331" i="3" l="1"/>
  <c r="Y330" i="3"/>
  <c r="AA332" i="3"/>
  <c r="Z332" i="3"/>
  <c r="AC332" i="3"/>
  <c r="P332" i="3"/>
  <c r="Q332" i="3" s="1"/>
  <c r="R332" i="3" s="1"/>
  <c r="S332" i="3" s="1"/>
  <c r="T332" i="3" l="1"/>
  <c r="AG332" i="3" s="1"/>
  <c r="E332" i="3" l="1"/>
  <c r="H332" i="3" s="1"/>
  <c r="K332" i="3" s="1"/>
  <c r="AE332" i="3" s="1"/>
  <c r="D332" i="3"/>
  <c r="AH332" i="3"/>
  <c r="V332" i="3" l="1"/>
  <c r="A333" i="3"/>
  <c r="B333" i="3" s="1"/>
  <c r="F332" i="3"/>
  <c r="G332" i="3"/>
  <c r="I332" i="3" l="1"/>
  <c r="W332" i="3" s="1"/>
  <c r="J332" i="3"/>
  <c r="AD332" i="3" s="1"/>
  <c r="M332" i="3"/>
  <c r="N332" i="3" s="1"/>
  <c r="AA333" i="3"/>
  <c r="P333" i="3"/>
  <c r="Q333" i="3" s="1"/>
  <c r="R333" i="3" s="1"/>
  <c r="S333" i="3" s="1"/>
  <c r="Z333" i="3"/>
  <c r="AC333" i="3"/>
  <c r="T333" i="3" l="1"/>
  <c r="L332" i="3"/>
  <c r="AH333" i="3" l="1"/>
  <c r="AG333" i="3"/>
  <c r="U332" i="3"/>
  <c r="D333" i="3" s="1"/>
  <c r="Y331" i="3"/>
  <c r="E333" i="3" l="1"/>
  <c r="H333" i="3" s="1"/>
  <c r="K333" i="3" s="1"/>
  <c r="AE333" i="3" s="1"/>
  <c r="G333" i="3"/>
  <c r="F333" i="3" l="1"/>
  <c r="I333" i="3"/>
  <c r="J333" i="3"/>
  <c r="AD333" i="3" s="1"/>
  <c r="M333" i="3"/>
  <c r="N333" i="3" s="1"/>
  <c r="V333" i="3"/>
  <c r="A334" i="3"/>
  <c r="B334" i="3" s="1"/>
  <c r="W333" i="3" l="1"/>
  <c r="L333" i="3"/>
  <c r="AA334" i="3"/>
  <c r="P334" i="3"/>
  <c r="Q334" i="3" s="1"/>
  <c r="R334" i="3" s="1"/>
  <c r="S334" i="3" s="1"/>
  <c r="Z334" i="3"/>
  <c r="AC334" i="3"/>
  <c r="T334" i="3" l="1"/>
  <c r="AH334" i="3" s="1"/>
  <c r="U333" i="3"/>
  <c r="Y332" i="3"/>
  <c r="D334" i="3" l="1"/>
  <c r="G334" i="3" s="1"/>
  <c r="E334" i="3"/>
  <c r="H334" i="3" s="1"/>
  <c r="AG334" i="3"/>
  <c r="F334" i="3" l="1"/>
  <c r="I334" i="3"/>
  <c r="J334" i="3"/>
  <c r="AD334" i="3" s="1"/>
  <c r="M334" i="3"/>
  <c r="N334" i="3" s="1"/>
  <c r="K334" i="3"/>
  <c r="AE334" i="3" s="1"/>
  <c r="L334" i="3" l="1"/>
  <c r="V334" i="3"/>
  <c r="W334" i="3" s="1"/>
  <c r="A335" i="3"/>
  <c r="B335" i="3" s="1"/>
  <c r="U334" i="3" l="1"/>
  <c r="Y333" i="3"/>
  <c r="AC335" i="3"/>
  <c r="P335" i="3"/>
  <c r="Q335" i="3" s="1"/>
  <c r="R335" i="3" s="1"/>
  <c r="S335" i="3" s="1"/>
  <c r="AA335" i="3"/>
  <c r="Z335" i="3"/>
  <c r="T335" i="3" l="1"/>
  <c r="AG335" i="3" s="1"/>
  <c r="AH335" i="3" l="1"/>
  <c r="D335" i="3"/>
  <c r="E335" i="3"/>
  <c r="H335" i="3" s="1"/>
  <c r="F335" i="3" l="1"/>
  <c r="G335" i="3"/>
  <c r="K335" i="3"/>
  <c r="AE335" i="3" s="1"/>
  <c r="I335" i="3" l="1"/>
  <c r="J335" i="3"/>
  <c r="AD335" i="3" s="1"/>
  <c r="M335" i="3"/>
  <c r="N335" i="3" s="1"/>
  <c r="V335" i="3"/>
  <c r="A336" i="3"/>
  <c r="B336" i="3" s="1"/>
  <c r="W335" i="3" l="1"/>
  <c r="L335" i="3"/>
  <c r="AA336" i="3"/>
  <c r="P336" i="3"/>
  <c r="Q336" i="3" s="1"/>
  <c r="R336" i="3" s="1"/>
  <c r="S336" i="3" s="1"/>
  <c r="AC336" i="3"/>
  <c r="Z336" i="3"/>
  <c r="T336" i="3" l="1"/>
  <c r="AG336" i="3" s="1"/>
  <c r="U335" i="3"/>
  <c r="Y334" i="3"/>
  <c r="E336" i="3" l="1"/>
  <c r="H336" i="3" s="1"/>
  <c r="D336" i="3"/>
  <c r="AH336" i="3"/>
  <c r="K336" i="3" l="1"/>
  <c r="AE336" i="3" s="1"/>
  <c r="F336" i="3"/>
  <c r="G336" i="3"/>
  <c r="I336" i="3" l="1"/>
  <c r="J336" i="3"/>
  <c r="AD336" i="3" s="1"/>
  <c r="M336" i="3"/>
  <c r="N336" i="3" s="1"/>
  <c r="V336" i="3"/>
  <c r="A337" i="3"/>
  <c r="B337" i="3" s="1"/>
  <c r="W336" i="3" l="1"/>
  <c r="P337" i="3"/>
  <c r="Q337" i="3" s="1"/>
  <c r="R337" i="3" s="1"/>
  <c r="S337" i="3" s="1"/>
  <c r="AC337" i="3"/>
  <c r="AA337" i="3"/>
  <c r="Z337" i="3"/>
  <c r="L336" i="3"/>
  <c r="T337" i="3" l="1"/>
  <c r="U336" i="3"/>
  <c r="Y335" i="3"/>
  <c r="E337" i="3" l="1"/>
  <c r="H337" i="3" s="1"/>
  <c r="K337" i="3" s="1"/>
  <c r="AE337" i="3" s="1"/>
  <c r="AH337" i="3"/>
  <c r="AG337" i="3"/>
  <c r="D337" i="3"/>
  <c r="V337" i="3" l="1"/>
  <c r="A338" i="3"/>
  <c r="B338" i="3" s="1"/>
  <c r="F337" i="3"/>
  <c r="G337" i="3"/>
  <c r="I337" i="3" l="1"/>
  <c r="W337" i="3" s="1"/>
  <c r="J337" i="3"/>
  <c r="AD337" i="3" s="1"/>
  <c r="M337" i="3"/>
  <c r="N337" i="3" s="1"/>
  <c r="P338" i="3"/>
  <c r="Q338" i="3" s="1"/>
  <c r="R338" i="3" s="1"/>
  <c r="S338" i="3" s="1"/>
  <c r="Z338" i="3"/>
  <c r="AC338" i="3"/>
  <c r="AA338" i="3"/>
  <c r="T338" i="3" l="1"/>
  <c r="L337" i="3"/>
  <c r="AH338" i="3" l="1"/>
  <c r="U337" i="3"/>
  <c r="E338" i="3" s="1"/>
  <c r="H338" i="3" s="1"/>
  <c r="AG338" i="3"/>
  <c r="Y336" i="3"/>
  <c r="D338" i="3" l="1"/>
  <c r="F338" i="3" s="1"/>
  <c r="K338" i="3"/>
  <c r="AE338" i="3" s="1"/>
  <c r="G338" i="3" l="1"/>
  <c r="M338" i="3" s="1"/>
  <c r="N338" i="3" s="1"/>
  <c r="V338" i="3"/>
  <c r="A339" i="3"/>
  <c r="B339" i="3" s="1"/>
  <c r="I338" i="3" l="1"/>
  <c r="W338" i="3" s="1"/>
  <c r="J338" i="3"/>
  <c r="Z339" i="3"/>
  <c r="P339" i="3"/>
  <c r="Q339" i="3" s="1"/>
  <c r="R339" i="3" s="1"/>
  <c r="S339" i="3" s="1"/>
  <c r="AA339" i="3"/>
  <c r="AC339" i="3"/>
  <c r="L338" i="3" l="1"/>
  <c r="U338" i="3" s="1"/>
  <c r="AD338" i="3"/>
  <c r="T339" i="3"/>
  <c r="Y337" i="3" l="1"/>
  <c r="AG339" i="3"/>
  <c r="AH339" i="3"/>
  <c r="E339" i="3"/>
  <c r="H339" i="3" s="1"/>
  <c r="D339" i="3"/>
  <c r="K339" i="3" l="1"/>
  <c r="AE339" i="3" s="1"/>
  <c r="F339" i="3"/>
  <c r="G339" i="3"/>
  <c r="V339" i="3" l="1"/>
  <c r="A340" i="3"/>
  <c r="B340" i="3" s="1"/>
  <c r="I339" i="3"/>
  <c r="J339" i="3"/>
  <c r="AD339" i="3" s="1"/>
  <c r="M339" i="3"/>
  <c r="N339" i="3" s="1"/>
  <c r="W339" i="3" l="1"/>
  <c r="L339" i="3"/>
  <c r="Z340" i="3"/>
  <c r="P340" i="3"/>
  <c r="Q340" i="3" s="1"/>
  <c r="R340" i="3" s="1"/>
  <c r="S340" i="3" s="1"/>
  <c r="AC340" i="3"/>
  <c r="AA340" i="3"/>
  <c r="T340" i="3" l="1"/>
  <c r="U339" i="3"/>
  <c r="Y338" i="3"/>
  <c r="D340" i="3" l="1"/>
  <c r="G340" i="3" s="1"/>
  <c r="E340" i="3"/>
  <c r="H340" i="3" s="1"/>
  <c r="K340" i="3" s="1"/>
  <c r="AE340" i="3" s="1"/>
  <c r="AH340" i="3"/>
  <c r="AG340" i="3"/>
  <c r="F340" i="3" l="1"/>
  <c r="V340" i="3"/>
  <c r="A341" i="3"/>
  <c r="B341" i="3" s="1"/>
  <c r="I340" i="3"/>
  <c r="J340" i="3"/>
  <c r="AD340" i="3" s="1"/>
  <c r="M340" i="3"/>
  <c r="N340" i="3" s="1"/>
  <c r="W340" i="3" l="1"/>
  <c r="L340" i="3"/>
  <c r="Z341" i="3"/>
  <c r="P341" i="3"/>
  <c r="Q341" i="3" s="1"/>
  <c r="R341" i="3" s="1"/>
  <c r="S341" i="3" s="1"/>
  <c r="AA341" i="3"/>
  <c r="AC341" i="3"/>
  <c r="U340" i="3" l="1"/>
  <c r="Y339" i="3"/>
  <c r="T341" i="3"/>
  <c r="AG341" i="3" s="1"/>
  <c r="D341" i="3" l="1"/>
  <c r="AH341" i="3"/>
  <c r="E341" i="3"/>
  <c r="H341" i="3" s="1"/>
  <c r="F341" i="3" l="1"/>
  <c r="G341" i="3"/>
  <c r="K341" i="3"/>
  <c r="AE341" i="3" s="1"/>
  <c r="I341" i="3" l="1"/>
  <c r="J341" i="3"/>
  <c r="AD341" i="3" s="1"/>
  <c r="M341" i="3"/>
  <c r="N341" i="3" s="1"/>
  <c r="V341" i="3"/>
  <c r="A342" i="3"/>
  <c r="B342" i="3" s="1"/>
  <c r="L341" i="3" l="1"/>
  <c r="W341" i="3"/>
  <c r="Z342" i="3"/>
  <c r="P342" i="3"/>
  <c r="Q342" i="3" s="1"/>
  <c r="R342" i="3" s="1"/>
  <c r="S342" i="3" s="1"/>
  <c r="AA342" i="3"/>
  <c r="AC342" i="3"/>
  <c r="U341" i="3" l="1"/>
  <c r="Y340" i="3"/>
  <c r="T342" i="3"/>
  <c r="D342" i="3" l="1"/>
  <c r="G342" i="3" s="1"/>
  <c r="AH342" i="3"/>
  <c r="E342" i="3"/>
  <c r="H342" i="3" s="1"/>
  <c r="AG342" i="3"/>
  <c r="F342" i="3" l="1"/>
  <c r="I342" i="3"/>
  <c r="J342" i="3"/>
  <c r="AD342" i="3" s="1"/>
  <c r="M342" i="3"/>
  <c r="N342" i="3" s="1"/>
  <c r="K342" i="3"/>
  <c r="AE342" i="3" s="1"/>
  <c r="V342" i="3" l="1"/>
  <c r="W342" i="3" s="1"/>
  <c r="A343" i="3"/>
  <c r="B343" i="3" s="1"/>
  <c r="L342" i="3"/>
  <c r="U342" i="3" l="1"/>
  <c r="Y341" i="3"/>
  <c r="P343" i="3"/>
  <c r="Q343" i="3" s="1"/>
  <c r="R343" i="3" s="1"/>
  <c r="S343" i="3" s="1"/>
  <c r="AA343" i="3"/>
  <c r="Z343" i="3"/>
  <c r="AC343" i="3"/>
  <c r="T343" i="3" l="1"/>
  <c r="D343" i="3" s="1"/>
  <c r="E343" i="3" l="1"/>
  <c r="H343" i="3" s="1"/>
  <c r="K343" i="3" s="1"/>
  <c r="AE343" i="3" s="1"/>
  <c r="G343" i="3"/>
  <c r="AG343" i="3"/>
  <c r="AH343" i="3"/>
  <c r="F343" i="3" l="1"/>
  <c r="I343" i="3"/>
  <c r="J343" i="3"/>
  <c r="AD343" i="3" s="1"/>
  <c r="M343" i="3"/>
  <c r="N343" i="3" s="1"/>
  <c r="V343" i="3"/>
  <c r="A344" i="3"/>
  <c r="B344" i="3" s="1"/>
  <c r="W343" i="3" l="1"/>
  <c r="L343" i="3"/>
  <c r="AA344" i="3"/>
  <c r="Z344" i="3"/>
  <c r="P344" i="3"/>
  <c r="Q344" i="3" s="1"/>
  <c r="R344" i="3" s="1"/>
  <c r="S344" i="3" s="1"/>
  <c r="AC344" i="3"/>
  <c r="U343" i="3" l="1"/>
  <c r="Y342" i="3"/>
  <c r="T344" i="3"/>
  <c r="AH344" i="3" s="1"/>
  <c r="AG344" i="3" l="1"/>
  <c r="E344" i="3"/>
  <c r="H344" i="3" s="1"/>
  <c r="D344" i="3"/>
  <c r="F344" i="3" l="1"/>
  <c r="G344" i="3"/>
  <c r="K344" i="3"/>
  <c r="AE344" i="3" s="1"/>
  <c r="I344" i="3" l="1"/>
  <c r="J344" i="3"/>
  <c r="AD344" i="3" s="1"/>
  <c r="M344" i="3"/>
  <c r="N344" i="3" s="1"/>
  <c r="V344" i="3"/>
  <c r="A345" i="3"/>
  <c r="B345" i="3" s="1"/>
  <c r="W344" i="3" l="1"/>
  <c r="P345" i="3"/>
  <c r="Q345" i="3" s="1"/>
  <c r="R345" i="3" s="1"/>
  <c r="S345" i="3" s="1"/>
  <c r="Z345" i="3"/>
  <c r="AC345" i="3"/>
  <c r="AA345" i="3"/>
  <c r="L344" i="3"/>
  <c r="T345" i="3" l="1"/>
  <c r="U344" i="3"/>
  <c r="Y343" i="3"/>
  <c r="E345" i="3" l="1"/>
  <c r="H345" i="3" s="1"/>
  <c r="K345" i="3" s="1"/>
  <c r="AE345" i="3" s="1"/>
  <c r="AH345" i="3"/>
  <c r="D345" i="3"/>
  <c r="AG345" i="3"/>
  <c r="F345" i="3" l="1"/>
  <c r="G345" i="3"/>
  <c r="V345" i="3"/>
  <c r="A346" i="3"/>
  <c r="B346" i="3" s="1"/>
  <c r="AC346" i="3" l="1"/>
  <c r="P346" i="3"/>
  <c r="Q346" i="3" s="1"/>
  <c r="R346" i="3" s="1"/>
  <c r="S346" i="3" s="1"/>
  <c r="AA346" i="3"/>
  <c r="Z346" i="3"/>
  <c r="I345" i="3"/>
  <c r="W345" i="3" s="1"/>
  <c r="J345" i="3"/>
  <c r="AD345" i="3" s="1"/>
  <c r="M345" i="3"/>
  <c r="N345" i="3" s="1"/>
  <c r="L345" i="3" l="1"/>
  <c r="T346" i="3"/>
  <c r="AH346" i="3" l="1"/>
  <c r="AG346" i="3"/>
  <c r="U345" i="3"/>
  <c r="D346" i="3" s="1"/>
  <c r="Y344" i="3"/>
  <c r="G346" i="3" l="1"/>
  <c r="E346" i="3"/>
  <c r="H346" i="3" s="1"/>
  <c r="F346" i="3" l="1"/>
  <c r="I346" i="3"/>
  <c r="J346" i="3"/>
  <c r="AD346" i="3" s="1"/>
  <c r="M346" i="3"/>
  <c r="N346" i="3" s="1"/>
  <c r="K346" i="3"/>
  <c r="AE346" i="3" s="1"/>
  <c r="V346" i="3" l="1"/>
  <c r="W346" i="3" s="1"/>
  <c r="A347" i="3"/>
  <c r="B347" i="3" s="1"/>
  <c r="L346" i="3"/>
  <c r="U346" i="3" l="1"/>
  <c r="Y345" i="3"/>
  <c r="AC347" i="3"/>
  <c r="Z347" i="3"/>
  <c r="AA347" i="3"/>
  <c r="P347" i="3"/>
  <c r="Q347" i="3" s="1"/>
  <c r="R347" i="3" s="1"/>
  <c r="S347" i="3" s="1"/>
  <c r="T347" i="3" l="1"/>
  <c r="E347" i="3" s="1"/>
  <c r="H347" i="3" s="1"/>
  <c r="K347" i="3" l="1"/>
  <c r="AE347" i="3" s="1"/>
  <c r="AH347" i="3"/>
  <c r="AG347" i="3"/>
  <c r="D347" i="3"/>
  <c r="F347" i="3" l="1"/>
  <c r="G347" i="3"/>
  <c r="V347" i="3"/>
  <c r="A348" i="3"/>
  <c r="B348" i="3" s="1"/>
  <c r="I347" i="3" l="1"/>
  <c r="W347" i="3" s="1"/>
  <c r="J347" i="3"/>
  <c r="AD347" i="3" s="1"/>
  <c r="M347" i="3"/>
  <c r="N347" i="3" s="1"/>
  <c r="AC348" i="3"/>
  <c r="AA348" i="3"/>
  <c r="P348" i="3"/>
  <c r="Q348" i="3" s="1"/>
  <c r="R348" i="3" s="1"/>
  <c r="S348" i="3" s="1"/>
  <c r="Z348" i="3"/>
  <c r="L347" i="3" l="1"/>
  <c r="T348" i="3"/>
  <c r="U347" i="3" l="1"/>
  <c r="D348" i="3" s="1"/>
  <c r="AH348" i="3"/>
  <c r="AG348" i="3"/>
  <c r="Y346" i="3"/>
  <c r="E348" i="3" l="1"/>
  <c r="H348" i="3" s="1"/>
  <c r="K348" i="3" s="1"/>
  <c r="AE348" i="3" s="1"/>
  <c r="G348" i="3"/>
  <c r="F348" i="3" l="1"/>
  <c r="I348" i="3"/>
  <c r="J348" i="3"/>
  <c r="AD348" i="3" s="1"/>
  <c r="M348" i="3"/>
  <c r="N348" i="3" s="1"/>
  <c r="V348" i="3"/>
  <c r="A349" i="3"/>
  <c r="B349" i="3" s="1"/>
  <c r="W348" i="3" l="1"/>
  <c r="L348" i="3"/>
  <c r="AC349" i="3"/>
  <c r="P349" i="3"/>
  <c r="Q349" i="3" s="1"/>
  <c r="R349" i="3" s="1"/>
  <c r="S349" i="3" s="1"/>
  <c r="AA349" i="3"/>
  <c r="Z349" i="3"/>
  <c r="U348" i="3" l="1"/>
  <c r="Y347" i="3"/>
  <c r="T349" i="3"/>
  <c r="AG349" i="3" s="1"/>
  <c r="E349" i="3" l="1"/>
  <c r="H349" i="3" s="1"/>
  <c r="K349" i="3" s="1"/>
  <c r="AE349" i="3" s="1"/>
  <c r="D349" i="3"/>
  <c r="AH349" i="3"/>
  <c r="V349" i="3" l="1"/>
  <c r="A350" i="3"/>
  <c r="B350" i="3" s="1"/>
  <c r="F349" i="3"/>
  <c r="G349" i="3"/>
  <c r="I349" i="3" l="1"/>
  <c r="W349" i="3" s="1"/>
  <c r="J349" i="3"/>
  <c r="AD349" i="3" s="1"/>
  <c r="M349" i="3"/>
  <c r="N349" i="3" s="1"/>
  <c r="P350" i="3"/>
  <c r="Q350" i="3" s="1"/>
  <c r="R350" i="3" s="1"/>
  <c r="S350" i="3" s="1"/>
  <c r="Z350" i="3"/>
  <c r="AC350" i="3"/>
  <c r="AA350" i="3"/>
  <c r="T350" i="3" l="1"/>
  <c r="L349" i="3"/>
  <c r="U349" i="3" l="1"/>
  <c r="D350" i="3" s="1"/>
  <c r="AG350" i="3"/>
  <c r="AH350" i="3"/>
  <c r="Y348" i="3"/>
  <c r="E350" i="3" l="1"/>
  <c r="H350" i="3" s="1"/>
  <c r="K350" i="3" s="1"/>
  <c r="AE350" i="3" s="1"/>
  <c r="G350" i="3"/>
  <c r="F350" i="3" l="1"/>
  <c r="V350" i="3"/>
  <c r="A351" i="3"/>
  <c r="B351" i="3" s="1"/>
  <c r="I350" i="3"/>
  <c r="J350" i="3"/>
  <c r="AD350" i="3" s="1"/>
  <c r="M350" i="3"/>
  <c r="N350" i="3" s="1"/>
  <c r="W350" i="3" l="1"/>
  <c r="L350" i="3"/>
  <c r="AA351" i="3"/>
  <c r="P351" i="3"/>
  <c r="Q351" i="3" s="1"/>
  <c r="R351" i="3" s="1"/>
  <c r="S351" i="3" s="1"/>
  <c r="Z351" i="3"/>
  <c r="AC351" i="3"/>
  <c r="U350" i="3" l="1"/>
  <c r="Y349" i="3"/>
  <c r="T351" i="3"/>
  <c r="D351" i="3" l="1"/>
  <c r="G351" i="3" s="1"/>
  <c r="AH351" i="3"/>
  <c r="E351" i="3"/>
  <c r="H351" i="3" s="1"/>
  <c r="K351" i="3" s="1"/>
  <c r="AE351" i="3" s="1"/>
  <c r="AG351" i="3"/>
  <c r="F351" i="3" l="1"/>
  <c r="V351" i="3"/>
  <c r="A352" i="3"/>
  <c r="B352" i="3" s="1"/>
  <c r="I351" i="3"/>
  <c r="J351" i="3"/>
  <c r="AD351" i="3" s="1"/>
  <c r="M351" i="3"/>
  <c r="N351" i="3" s="1"/>
  <c r="L351" i="3" l="1"/>
  <c r="W351" i="3"/>
  <c r="AC352" i="3"/>
  <c r="P352" i="3"/>
  <c r="Q352" i="3" s="1"/>
  <c r="R352" i="3" s="1"/>
  <c r="S352" i="3" s="1"/>
  <c r="AA352" i="3"/>
  <c r="Z352" i="3"/>
  <c r="U351" i="3" l="1"/>
  <c r="Y350" i="3"/>
  <c r="T352" i="3"/>
  <c r="E352" i="3" l="1"/>
  <c r="H352" i="3" s="1"/>
  <c r="K352" i="3" s="1"/>
  <c r="AE352" i="3" s="1"/>
  <c r="AH352" i="3"/>
  <c r="D352" i="3"/>
  <c r="AG352" i="3"/>
  <c r="F352" i="3" l="1"/>
  <c r="G352" i="3"/>
  <c r="V352" i="3"/>
  <c r="A353" i="3"/>
  <c r="B353" i="3" s="1"/>
  <c r="AC353" i="3" l="1"/>
  <c r="AA353" i="3"/>
  <c r="P353" i="3"/>
  <c r="Q353" i="3" s="1"/>
  <c r="R353" i="3" s="1"/>
  <c r="S353" i="3" s="1"/>
  <c r="Z353" i="3"/>
  <c r="I352" i="3"/>
  <c r="W352" i="3" s="1"/>
  <c r="J352" i="3"/>
  <c r="AD352" i="3" s="1"/>
  <c r="M352" i="3"/>
  <c r="N352" i="3" s="1"/>
  <c r="T353" i="3" l="1"/>
  <c r="L352" i="3"/>
  <c r="U352" i="3" l="1"/>
  <c r="D353" i="3" s="1"/>
  <c r="AH353" i="3"/>
  <c r="AG353" i="3"/>
  <c r="Y351" i="3"/>
  <c r="E353" i="3" l="1"/>
  <c r="H353" i="3" s="1"/>
  <c r="K353" i="3" s="1"/>
  <c r="AE353" i="3" s="1"/>
  <c r="G353" i="3"/>
  <c r="F353" i="3" l="1"/>
  <c r="I353" i="3"/>
  <c r="J353" i="3"/>
  <c r="AD353" i="3" s="1"/>
  <c r="M353" i="3"/>
  <c r="N353" i="3" s="1"/>
  <c r="V353" i="3"/>
  <c r="A354" i="3"/>
  <c r="B354" i="3" s="1"/>
  <c r="W353" i="3" l="1"/>
  <c r="L353" i="3"/>
  <c r="P354" i="3"/>
  <c r="Q354" i="3" s="1"/>
  <c r="R354" i="3" s="1"/>
  <c r="S354" i="3" s="1"/>
  <c r="AC354" i="3"/>
  <c r="Z354" i="3"/>
  <c r="AA354" i="3"/>
  <c r="U353" i="3" l="1"/>
  <c r="Y352" i="3"/>
  <c r="T354" i="3"/>
  <c r="AG354" i="3" s="1"/>
  <c r="D354" i="3" l="1"/>
  <c r="AH354" i="3"/>
  <c r="E354" i="3"/>
  <c r="H354" i="3" s="1"/>
  <c r="F354" i="3" l="1"/>
  <c r="G354" i="3"/>
  <c r="K354" i="3"/>
  <c r="AE354" i="3" s="1"/>
  <c r="V354" i="3" l="1"/>
  <c r="A355" i="3"/>
  <c r="B355" i="3" s="1"/>
  <c r="I354" i="3"/>
  <c r="J354" i="3"/>
  <c r="AD354" i="3" s="1"/>
  <c r="M354" i="3"/>
  <c r="N354" i="3" s="1"/>
  <c r="W354" i="3" l="1"/>
  <c r="L354" i="3"/>
  <c r="AA355" i="3"/>
  <c r="AC355" i="3"/>
  <c r="Z355" i="3"/>
  <c r="P355" i="3"/>
  <c r="Q355" i="3" s="1"/>
  <c r="R355" i="3" s="1"/>
  <c r="S355" i="3" s="1"/>
  <c r="T355" i="3" l="1"/>
  <c r="U354" i="3"/>
  <c r="Y353" i="3"/>
  <c r="D355" i="3" l="1"/>
  <c r="G355" i="3" s="1"/>
  <c r="AG355" i="3"/>
  <c r="E355" i="3"/>
  <c r="H355" i="3" s="1"/>
  <c r="K355" i="3" s="1"/>
  <c r="AE355" i="3" s="1"/>
  <c r="AH355" i="3"/>
  <c r="F355" i="3" l="1"/>
  <c r="V355" i="3"/>
  <c r="A356" i="3"/>
  <c r="B356" i="3" s="1"/>
  <c r="I355" i="3"/>
  <c r="J355" i="3"/>
  <c r="AD355" i="3" s="1"/>
  <c r="M355" i="3"/>
  <c r="N355" i="3" s="1"/>
  <c r="W355" i="3" l="1"/>
  <c r="L355" i="3"/>
  <c r="P356" i="3"/>
  <c r="Q356" i="3" s="1"/>
  <c r="R356" i="3" s="1"/>
  <c r="S356" i="3" s="1"/>
  <c r="AA356" i="3"/>
  <c r="Z356" i="3"/>
  <c r="AC356" i="3"/>
  <c r="U355" i="3" l="1"/>
  <c r="Y354" i="3"/>
  <c r="T356" i="3"/>
  <c r="AG356" i="3" s="1"/>
  <c r="AH356" i="3" l="1"/>
  <c r="D356" i="3"/>
  <c r="E356" i="3"/>
  <c r="H356" i="3" s="1"/>
  <c r="K356" i="3" s="1"/>
  <c r="AE356" i="3" s="1"/>
  <c r="F356" i="3" l="1"/>
  <c r="G356" i="3"/>
  <c r="M356" i="3" s="1"/>
  <c r="N356" i="3" s="1"/>
  <c r="V356" i="3"/>
  <c r="A357" i="3"/>
  <c r="B357" i="3" s="1"/>
  <c r="I356" i="3" l="1"/>
  <c r="W356" i="3" s="1"/>
  <c r="J356" i="3"/>
  <c r="Z357" i="3"/>
  <c r="P357" i="3"/>
  <c r="Q357" i="3" s="1"/>
  <c r="R357" i="3" s="1"/>
  <c r="S357" i="3" s="1"/>
  <c r="AC357" i="3"/>
  <c r="AA357" i="3"/>
  <c r="L356" i="3" l="1"/>
  <c r="U356" i="3" s="1"/>
  <c r="AD356" i="3"/>
  <c r="T357" i="3"/>
  <c r="Y355" i="3" l="1"/>
  <c r="AG357" i="3"/>
  <c r="AH357" i="3"/>
  <c r="E357" i="3"/>
  <c r="H357" i="3" s="1"/>
  <c r="D357" i="3"/>
  <c r="F357" i="3" l="1"/>
  <c r="G357" i="3"/>
  <c r="K357" i="3"/>
  <c r="AE357" i="3" s="1"/>
  <c r="V357" i="3" l="1"/>
  <c r="A358" i="3"/>
  <c r="B358" i="3" s="1"/>
  <c r="I357" i="3"/>
  <c r="J357" i="3"/>
  <c r="AD357" i="3" s="1"/>
  <c r="M357" i="3"/>
  <c r="N357" i="3" s="1"/>
  <c r="W357" i="3" l="1"/>
  <c r="L357" i="3"/>
  <c r="P358" i="3"/>
  <c r="Q358" i="3" s="1"/>
  <c r="R358" i="3" s="1"/>
  <c r="S358" i="3" s="1"/>
  <c r="Z358" i="3"/>
  <c r="AA358" i="3"/>
  <c r="AC358" i="3"/>
  <c r="T358" i="3" l="1"/>
  <c r="AH358" i="3" s="1"/>
  <c r="U357" i="3"/>
  <c r="Y356" i="3"/>
  <c r="D358" i="3" l="1"/>
  <c r="G358" i="3" s="1"/>
  <c r="E358" i="3"/>
  <c r="H358" i="3" s="1"/>
  <c r="AG358" i="3"/>
  <c r="I358" i="3" l="1"/>
  <c r="J358" i="3"/>
  <c r="AD358" i="3" s="1"/>
  <c r="M358" i="3"/>
  <c r="N358" i="3" s="1"/>
  <c r="F358" i="3"/>
  <c r="K358" i="3"/>
  <c r="AE358" i="3" s="1"/>
  <c r="V358" i="3" l="1"/>
  <c r="W358" i="3" s="1"/>
  <c r="A359" i="3"/>
  <c r="B359" i="3" s="1"/>
  <c r="L358" i="3"/>
  <c r="U358" i="3" l="1"/>
  <c r="Y357" i="3"/>
  <c r="P359" i="3"/>
  <c r="Q359" i="3" s="1"/>
  <c r="R359" i="3" s="1"/>
  <c r="S359" i="3" s="1"/>
  <c r="AC359" i="3"/>
  <c r="AA359" i="3"/>
  <c r="Z359" i="3"/>
  <c r="T359" i="3" l="1"/>
  <c r="AG359" i="3" s="1"/>
  <c r="AH359" i="3" l="1"/>
  <c r="E359" i="3"/>
  <c r="H359" i="3" s="1"/>
  <c r="D359" i="3"/>
  <c r="K359" i="3" l="1"/>
  <c r="AE359" i="3" s="1"/>
  <c r="F359" i="3"/>
  <c r="G359" i="3"/>
  <c r="I359" i="3" l="1"/>
  <c r="J359" i="3"/>
  <c r="AD359" i="3" s="1"/>
  <c r="M359" i="3"/>
  <c r="N359" i="3" s="1"/>
  <c r="V359" i="3"/>
  <c r="A360" i="3"/>
  <c r="B360" i="3" s="1"/>
  <c r="W359" i="3" l="1"/>
  <c r="L359" i="3"/>
  <c r="AC360" i="3"/>
  <c r="AA360" i="3"/>
  <c r="P360" i="3"/>
  <c r="Q360" i="3" s="1"/>
  <c r="R360" i="3" s="1"/>
  <c r="S360" i="3" s="1"/>
  <c r="Z360" i="3"/>
  <c r="T360" i="3" l="1"/>
  <c r="AH360" i="3" s="1"/>
  <c r="U359" i="3"/>
  <c r="Y358" i="3"/>
  <c r="E360" i="3" l="1"/>
  <c r="H360" i="3" s="1"/>
  <c r="K360" i="3" s="1"/>
  <c r="AE360" i="3" s="1"/>
  <c r="AG360" i="3"/>
  <c r="D360" i="3"/>
  <c r="F360" i="3" l="1"/>
  <c r="G360" i="3"/>
  <c r="V360" i="3"/>
  <c r="A361" i="3"/>
  <c r="B361" i="3" s="1"/>
  <c r="Z361" i="3" l="1"/>
  <c r="P361" i="3"/>
  <c r="Q361" i="3" s="1"/>
  <c r="R361" i="3" s="1"/>
  <c r="S361" i="3" s="1"/>
  <c r="AC361" i="3"/>
  <c r="AA361" i="3"/>
  <c r="I360" i="3"/>
  <c r="W360" i="3" s="1"/>
  <c r="J360" i="3"/>
  <c r="AD360" i="3" s="1"/>
  <c r="M360" i="3"/>
  <c r="N360" i="3" s="1"/>
  <c r="T361" i="3" l="1"/>
  <c r="L360" i="3"/>
  <c r="AG361" i="3" l="1"/>
  <c r="AH361" i="3"/>
  <c r="U360" i="3"/>
  <c r="E361" i="3" s="1"/>
  <c r="H361" i="3" s="1"/>
  <c r="Y359" i="3"/>
  <c r="D361" i="3" l="1"/>
  <c r="G361" i="3" s="1"/>
  <c r="K361" i="3"/>
  <c r="AE361" i="3" s="1"/>
  <c r="F361" i="3" l="1"/>
  <c r="I361" i="3"/>
  <c r="J361" i="3"/>
  <c r="AD361" i="3" s="1"/>
  <c r="M361" i="3"/>
  <c r="N361" i="3" s="1"/>
  <c r="V361" i="3"/>
  <c r="A362" i="3"/>
  <c r="B362" i="3" s="1"/>
  <c r="W361" i="3" l="1"/>
  <c r="L361" i="3"/>
  <c r="AC362" i="3"/>
  <c r="Z362" i="3"/>
  <c r="P362" i="3"/>
  <c r="Q362" i="3" s="1"/>
  <c r="R362" i="3" s="1"/>
  <c r="S362" i="3" s="1"/>
  <c r="AA362" i="3"/>
  <c r="U361" i="3" l="1"/>
  <c r="Y360" i="3"/>
  <c r="T362" i="3"/>
  <c r="AH362" i="3" s="1"/>
  <c r="D362" i="3" l="1"/>
  <c r="G362" i="3" s="1"/>
  <c r="E362" i="3"/>
  <c r="H362" i="3" s="1"/>
  <c r="K362" i="3" s="1"/>
  <c r="AE362" i="3" s="1"/>
  <c r="AG362" i="3"/>
  <c r="F362" i="3" l="1"/>
  <c r="I362" i="3"/>
  <c r="J362" i="3"/>
  <c r="AD362" i="3" s="1"/>
  <c r="M362" i="3"/>
  <c r="N362" i="3" s="1"/>
  <c r="V362" i="3"/>
  <c r="A363" i="3"/>
  <c r="B363" i="3" s="1"/>
  <c r="W362" i="3" l="1"/>
  <c r="L362" i="3"/>
  <c r="P363" i="3"/>
  <c r="Q363" i="3" s="1"/>
  <c r="R363" i="3" s="1"/>
  <c r="S363" i="3" s="1"/>
  <c r="AA363" i="3"/>
  <c r="Z363" i="3"/>
  <c r="AC363" i="3"/>
  <c r="T363" i="3" l="1"/>
  <c r="U362" i="3"/>
  <c r="Y361" i="3"/>
  <c r="E363" i="3" l="1"/>
  <c r="H363" i="3" s="1"/>
  <c r="K363" i="3" s="1"/>
  <c r="AE363" i="3" s="1"/>
  <c r="AH363" i="3"/>
  <c r="D363" i="3"/>
  <c r="AG363" i="3"/>
  <c r="F363" i="3" l="1"/>
  <c r="G363" i="3"/>
  <c r="M363" i="3" s="1"/>
  <c r="N363" i="3" s="1"/>
  <c r="V363" i="3"/>
  <c r="A364" i="3"/>
  <c r="B364" i="3" s="1"/>
  <c r="I363" i="3" l="1"/>
  <c r="W363" i="3" s="1"/>
  <c r="J363" i="3"/>
  <c r="P364" i="3"/>
  <c r="Q364" i="3" s="1"/>
  <c r="R364" i="3" s="1"/>
  <c r="S364" i="3" s="1"/>
  <c r="Z364" i="3"/>
  <c r="AC364" i="3"/>
  <c r="AA364" i="3"/>
  <c r="L363" i="3" l="1"/>
  <c r="U363" i="3" s="1"/>
  <c r="AD363" i="3"/>
  <c r="T364" i="3"/>
  <c r="Y362" i="3" l="1"/>
  <c r="D364" i="3"/>
  <c r="G364" i="3" s="1"/>
  <c r="E364" i="3"/>
  <c r="H364" i="3" s="1"/>
  <c r="K364" i="3" s="1"/>
  <c r="AE364" i="3" s="1"/>
  <c r="AG364" i="3"/>
  <c r="AH364" i="3"/>
  <c r="F364" i="3" l="1"/>
  <c r="V364" i="3"/>
  <c r="A365" i="3"/>
  <c r="B365" i="3" s="1"/>
  <c r="I364" i="3"/>
  <c r="J364" i="3"/>
  <c r="AD364" i="3" s="1"/>
  <c r="M364" i="3"/>
  <c r="N364" i="3" s="1"/>
  <c r="W364" i="3" l="1"/>
  <c r="L364" i="3"/>
  <c r="AC365" i="3"/>
  <c r="P365" i="3"/>
  <c r="Q365" i="3" s="1"/>
  <c r="R365" i="3" s="1"/>
  <c r="S365" i="3" s="1"/>
  <c r="AA365" i="3"/>
  <c r="AD365" i="3"/>
  <c r="Z365" i="3"/>
  <c r="U364" i="3" l="1"/>
  <c r="Y363" i="3"/>
  <c r="T365" i="3"/>
  <c r="AH365" i="3" s="1"/>
  <c r="D365" i="3" l="1"/>
  <c r="G365" i="3" s="1"/>
  <c r="AG365" i="3"/>
  <c r="E365" i="3"/>
  <c r="H365" i="3" s="1"/>
  <c r="K365" i="3" s="1"/>
  <c r="AE365" i="3" s="1"/>
  <c r="F365" i="3" l="1"/>
  <c r="I365" i="3"/>
  <c r="J365" i="3"/>
  <c r="M365" i="3"/>
  <c r="N365" i="3" s="1"/>
  <c r="V365" i="3"/>
  <c r="A366" i="3"/>
  <c r="B366" i="3" s="1"/>
  <c r="W365" i="3" l="1"/>
  <c r="L365" i="3"/>
  <c r="AC366" i="3"/>
  <c r="AD366" i="3"/>
  <c r="P366" i="3"/>
  <c r="Q366" i="3" s="1"/>
  <c r="R366" i="3" s="1"/>
  <c r="S366" i="3" s="1"/>
  <c r="AA366" i="3"/>
  <c r="Z366" i="3"/>
  <c r="U365" i="3" l="1"/>
  <c r="Y364" i="3"/>
  <c r="T366" i="3"/>
  <c r="E366" i="3" l="1"/>
  <c r="H366" i="3" s="1"/>
  <c r="K366" i="3" s="1"/>
  <c r="AE366" i="3" s="1"/>
  <c r="AH366" i="3"/>
  <c r="D366" i="3"/>
  <c r="G366" i="3" s="1"/>
  <c r="AG366" i="3"/>
  <c r="F366" i="3" l="1"/>
  <c r="V366" i="3"/>
  <c r="A367" i="3"/>
  <c r="B367" i="3" s="1"/>
  <c r="I366" i="3"/>
  <c r="J366" i="3"/>
  <c r="M366" i="3"/>
  <c r="N366" i="3" s="1"/>
  <c r="W366" i="3" l="1"/>
  <c r="L366" i="3"/>
  <c r="Z367" i="3"/>
  <c r="P367" i="3"/>
  <c r="Q367" i="3" s="1"/>
  <c r="R367" i="3" s="1"/>
  <c r="S367" i="3" s="1"/>
  <c r="AC367" i="3"/>
  <c r="AD367" i="3"/>
  <c r="AA367" i="3"/>
  <c r="T367" i="3" l="1"/>
  <c r="AG367" i="3" s="1"/>
  <c r="U366" i="3"/>
  <c r="Y365" i="3"/>
  <c r="D367" i="3" l="1"/>
  <c r="AH367" i="3"/>
  <c r="E367" i="3"/>
  <c r="H367" i="3" s="1"/>
  <c r="F367" i="3" l="1"/>
  <c r="G367" i="3"/>
  <c r="K367" i="3"/>
  <c r="AE367" i="3" s="1"/>
  <c r="I367" i="3" l="1"/>
  <c r="J367" i="3"/>
  <c r="M367" i="3"/>
  <c r="N367" i="3" s="1"/>
  <c r="V367" i="3"/>
  <c r="A368" i="3"/>
  <c r="B368" i="3" s="1"/>
  <c r="L367" i="3" l="1"/>
  <c r="W367" i="3"/>
  <c r="Z368" i="3"/>
  <c r="P368" i="3"/>
  <c r="Q368" i="3" s="1"/>
  <c r="R368" i="3" s="1"/>
  <c r="S368" i="3" s="1"/>
  <c r="AD368" i="3"/>
  <c r="AC368" i="3"/>
  <c r="AA368" i="3"/>
  <c r="T368" i="3" l="1"/>
  <c r="AH368" i="3" s="1"/>
  <c r="U367" i="3"/>
  <c r="Y366" i="3"/>
  <c r="E368" i="3" l="1"/>
  <c r="H368" i="3" s="1"/>
  <c r="K368" i="3" s="1"/>
  <c r="AE368" i="3" s="1"/>
  <c r="D368" i="3"/>
  <c r="AG368" i="3"/>
  <c r="V368" i="3" l="1"/>
  <c r="A369" i="3"/>
  <c r="B369" i="3" s="1"/>
  <c r="F368" i="3"/>
  <c r="G368" i="3"/>
  <c r="I368" i="3" l="1"/>
  <c r="W368" i="3" s="1"/>
  <c r="J368" i="3"/>
  <c r="M368" i="3"/>
  <c r="N368" i="3" s="1"/>
  <c r="AD369" i="3"/>
  <c r="Z369" i="3"/>
  <c r="AC369" i="3"/>
  <c r="P369" i="3"/>
  <c r="Q369" i="3" s="1"/>
  <c r="R369" i="3" s="1"/>
  <c r="S369" i="3" s="1"/>
  <c r="AA369" i="3"/>
  <c r="T369" i="3" l="1"/>
  <c r="L368" i="3"/>
  <c r="AH369" i="3" l="1"/>
  <c r="AG369" i="3"/>
  <c r="U368" i="3"/>
  <c r="E369" i="3" s="1"/>
  <c r="H369" i="3" s="1"/>
  <c r="Y367" i="3"/>
  <c r="D369" i="3" l="1"/>
  <c r="F369" i="3" s="1"/>
  <c r="K369" i="3"/>
  <c r="AE369" i="3" s="1"/>
  <c r="G369" i="3" l="1"/>
  <c r="M369" i="3" s="1"/>
  <c r="N369" i="3" s="1"/>
  <c r="V369" i="3"/>
  <c r="A370" i="3"/>
  <c r="B370" i="3" s="1"/>
  <c r="J369" i="3" l="1"/>
  <c r="L369" i="3" s="1"/>
  <c r="I369" i="3"/>
  <c r="W369" i="3" s="1"/>
  <c r="AD370" i="3"/>
  <c r="AA370" i="3"/>
  <c r="P370" i="3"/>
  <c r="Q370" i="3" s="1"/>
  <c r="R370" i="3" s="1"/>
  <c r="S370" i="3" s="1"/>
  <c r="AC370" i="3"/>
  <c r="Z370" i="3"/>
  <c r="U369" i="3" l="1"/>
  <c r="Y368" i="3"/>
  <c r="T370" i="3"/>
  <c r="AG370" i="3" s="1"/>
  <c r="E370" i="3" l="1"/>
  <c r="H370" i="3" s="1"/>
  <c r="K370" i="3" s="1"/>
  <c r="AE370" i="3" s="1"/>
  <c r="AH370" i="3"/>
  <c r="D370" i="3"/>
  <c r="F370" i="3" l="1"/>
  <c r="G370" i="3"/>
  <c r="M370" i="3" s="1"/>
  <c r="N370" i="3" s="1"/>
  <c r="V370" i="3"/>
  <c r="A371" i="3"/>
  <c r="B371" i="3" s="1"/>
  <c r="I370" i="3" l="1"/>
  <c r="W370" i="3" s="1"/>
  <c r="J370" i="3"/>
  <c r="L370" i="3" s="1"/>
  <c r="AD371" i="3"/>
  <c r="AC371" i="3"/>
  <c r="P371" i="3"/>
  <c r="Q371" i="3" s="1"/>
  <c r="R371" i="3" s="1"/>
  <c r="S371" i="3" s="1"/>
  <c r="AA371" i="3"/>
  <c r="Z371" i="3"/>
  <c r="T371" i="3" l="1"/>
  <c r="AG371" i="3" s="1"/>
  <c r="U370" i="3"/>
  <c r="Y369" i="3"/>
  <c r="E371" i="3" l="1"/>
  <c r="H371" i="3" s="1"/>
  <c r="K371" i="3" s="1"/>
  <c r="AE371" i="3" s="1"/>
  <c r="D371" i="3"/>
  <c r="AH371" i="3"/>
  <c r="V371" i="3" l="1"/>
  <c r="A372" i="3"/>
  <c r="B372" i="3" s="1"/>
  <c r="F371" i="3"/>
  <c r="G371" i="3"/>
  <c r="I371" i="3" l="1"/>
  <c r="W371" i="3" s="1"/>
  <c r="J371" i="3"/>
  <c r="M371" i="3"/>
  <c r="N371" i="3" s="1"/>
  <c r="P372" i="3"/>
  <c r="Q372" i="3" s="1"/>
  <c r="R372" i="3" s="1"/>
  <c r="S372" i="3" s="1"/>
  <c r="AA372" i="3"/>
  <c r="AC372" i="3"/>
  <c r="Z372" i="3"/>
  <c r="AD372" i="3"/>
  <c r="L371" i="3" l="1"/>
  <c r="T372" i="3"/>
  <c r="U371" i="3" l="1"/>
  <c r="E372" i="3" s="1"/>
  <c r="H372" i="3" s="1"/>
  <c r="AG372" i="3"/>
  <c r="AH372" i="3"/>
  <c r="Y370" i="3"/>
  <c r="D372" i="3" l="1"/>
  <c r="F372" i="3" s="1"/>
  <c r="K372" i="3"/>
  <c r="AE372" i="3" s="1"/>
  <c r="G372" i="3" l="1"/>
  <c r="M372" i="3" s="1"/>
  <c r="N372" i="3" s="1"/>
  <c r="V372" i="3"/>
  <c r="A373" i="3"/>
  <c r="B373" i="3" s="1"/>
  <c r="J372" i="3" l="1"/>
  <c r="L372" i="3" s="1"/>
  <c r="I372" i="3"/>
  <c r="W372" i="3" s="1"/>
  <c r="AD373" i="3"/>
  <c r="Z373" i="3"/>
  <c r="AC373" i="3"/>
  <c r="P373" i="3"/>
  <c r="Q373" i="3" s="1"/>
  <c r="R373" i="3" s="1"/>
  <c r="S373" i="3" s="1"/>
  <c r="AA373" i="3"/>
  <c r="U372" i="3" l="1"/>
  <c r="Y371" i="3"/>
  <c r="T373" i="3"/>
  <c r="AH373" i="3" s="1"/>
  <c r="D373" i="3" l="1"/>
  <c r="G373" i="3" s="1"/>
  <c r="E373" i="3"/>
  <c r="H373" i="3" s="1"/>
  <c r="AG373" i="3"/>
  <c r="F373" i="3" l="1"/>
  <c r="I373" i="3"/>
  <c r="J373" i="3"/>
  <c r="M373" i="3"/>
  <c r="N373" i="3" s="1"/>
  <c r="K373" i="3"/>
  <c r="AE373" i="3" s="1"/>
  <c r="V373" i="3" l="1"/>
  <c r="W373" i="3" s="1"/>
  <c r="A374" i="3"/>
  <c r="B374" i="3" s="1"/>
  <c r="L373" i="3"/>
  <c r="U373" i="3" l="1"/>
  <c r="Y372" i="3"/>
  <c r="AA374" i="3"/>
  <c r="AC374" i="3"/>
  <c r="Z374" i="3"/>
  <c r="P374" i="3"/>
  <c r="Q374" i="3" s="1"/>
  <c r="R374" i="3" s="1"/>
  <c r="S374" i="3" s="1"/>
  <c r="T374" i="3" l="1"/>
  <c r="AH374" i="3" s="1"/>
  <c r="AG374" i="3" l="1"/>
  <c r="E374" i="3"/>
  <c r="H374" i="3" s="1"/>
  <c r="K374" i="3" s="1"/>
  <c r="AE374" i="3" s="1"/>
  <c r="D374" i="3"/>
  <c r="F374" i="3" l="1"/>
  <c r="G374" i="3"/>
  <c r="I374" i="3" s="1"/>
  <c r="V374" i="3"/>
  <c r="A375" i="3"/>
  <c r="B375" i="3" s="1"/>
  <c r="J374" i="3" l="1"/>
  <c r="M374" i="3"/>
  <c r="N374" i="3" s="1"/>
  <c r="W374" i="3"/>
  <c r="P375" i="3"/>
  <c r="Q375" i="3" s="1"/>
  <c r="R375" i="3" s="1"/>
  <c r="S375" i="3" s="1"/>
  <c r="Z375" i="3"/>
  <c r="AC375" i="3"/>
  <c r="AA375" i="3"/>
  <c r="AD375" i="3"/>
  <c r="L374" i="3" l="1"/>
  <c r="Y373" i="3" s="1"/>
  <c r="AD374" i="3"/>
  <c r="T375" i="3"/>
  <c r="U374" i="3" l="1"/>
  <c r="E375" i="3" s="1"/>
  <c r="H375" i="3" s="1"/>
  <c r="K375" i="3" s="1"/>
  <c r="AE375" i="3" s="1"/>
  <c r="AG375" i="3"/>
  <c r="AH375" i="3"/>
  <c r="D375" i="3" l="1"/>
  <c r="G375" i="3" s="1"/>
  <c r="I375" i="3" s="1"/>
  <c r="V375" i="3"/>
  <c r="A376" i="3"/>
  <c r="B376" i="3" s="1"/>
  <c r="M375" i="3" l="1"/>
  <c r="N375" i="3" s="1"/>
  <c r="F375" i="3"/>
  <c r="J375" i="3"/>
  <c r="L375" i="3" s="1"/>
  <c r="W375" i="3"/>
  <c r="AA376" i="3"/>
  <c r="P376" i="3"/>
  <c r="Q376" i="3" s="1"/>
  <c r="R376" i="3" s="1"/>
  <c r="S376" i="3" s="1"/>
  <c r="AC376" i="3"/>
  <c r="Z376" i="3"/>
  <c r="AD376" i="3"/>
  <c r="T376" i="3" l="1"/>
  <c r="U375" i="3"/>
  <c r="Y374" i="3"/>
  <c r="D376" i="3" l="1"/>
  <c r="G376" i="3" s="1"/>
  <c r="AG376" i="3"/>
  <c r="AH376" i="3"/>
  <c r="E376" i="3"/>
  <c r="H376" i="3" s="1"/>
  <c r="F376" i="3" l="1"/>
  <c r="I376" i="3"/>
  <c r="J376" i="3"/>
  <c r="M376" i="3"/>
  <c r="N376" i="3" s="1"/>
  <c r="K376" i="3"/>
  <c r="AE376" i="3" s="1"/>
  <c r="V376" i="3" l="1"/>
  <c r="W376" i="3" s="1"/>
  <c r="A377" i="3"/>
  <c r="B377" i="3" s="1"/>
  <c r="L376" i="3"/>
  <c r="AC377" i="3" l="1"/>
  <c r="AA377" i="3"/>
  <c r="P377" i="3"/>
  <c r="Q377" i="3" s="1"/>
  <c r="R377" i="3" s="1"/>
  <c r="S377" i="3" s="1"/>
  <c r="AD377" i="3"/>
  <c r="Z377" i="3"/>
  <c r="U376" i="3"/>
  <c r="Y375" i="3"/>
  <c r="T377" i="3" l="1"/>
  <c r="AH377" i="3" s="1"/>
  <c r="E377" i="3" l="1"/>
  <c r="H377" i="3" s="1"/>
  <c r="K377" i="3" s="1"/>
  <c r="AE377" i="3" s="1"/>
  <c r="D377" i="3"/>
  <c r="AG377" i="3"/>
  <c r="F377" i="3" l="1"/>
  <c r="G377" i="3"/>
  <c r="M377" i="3" s="1"/>
  <c r="N377" i="3" s="1"/>
  <c r="V377" i="3"/>
  <c r="A378" i="3"/>
  <c r="B378" i="3" s="1"/>
  <c r="I377" i="3" l="1"/>
  <c r="W377" i="3" s="1"/>
  <c r="J377" i="3"/>
  <c r="L377" i="3" s="1"/>
  <c r="AD378" i="3"/>
  <c r="Z378" i="3"/>
  <c r="AC378" i="3"/>
  <c r="P378" i="3"/>
  <c r="Q378" i="3" s="1"/>
  <c r="R378" i="3" s="1"/>
  <c r="S378" i="3" s="1"/>
  <c r="AA378" i="3"/>
  <c r="U377" i="3" l="1"/>
  <c r="Y376" i="3"/>
  <c r="T378" i="3"/>
  <c r="D378" i="3" l="1"/>
  <c r="G378" i="3" s="1"/>
  <c r="AG378" i="3"/>
  <c r="E378" i="3"/>
  <c r="H378" i="3" s="1"/>
  <c r="K378" i="3" s="1"/>
  <c r="AE378" i="3" s="1"/>
  <c r="AH378" i="3"/>
  <c r="F378" i="3" l="1"/>
  <c r="V378" i="3"/>
  <c r="A379" i="3"/>
  <c r="B379" i="3" s="1"/>
  <c r="I378" i="3"/>
  <c r="J378" i="3"/>
  <c r="M378" i="3"/>
  <c r="N378" i="3" s="1"/>
  <c r="W378" i="3" l="1"/>
  <c r="L378" i="3"/>
  <c r="Z379" i="3"/>
  <c r="AA379" i="3"/>
  <c r="AD379" i="3"/>
  <c r="P379" i="3"/>
  <c r="Q379" i="3" s="1"/>
  <c r="R379" i="3" s="1"/>
  <c r="S379" i="3" s="1"/>
  <c r="AC379" i="3"/>
  <c r="U378" i="3" l="1"/>
  <c r="Y377" i="3"/>
  <c r="T379" i="3"/>
  <c r="AH379" i="3" s="1"/>
  <c r="E379" i="3" l="1"/>
  <c r="H379" i="3" s="1"/>
  <c r="K379" i="3" s="1"/>
  <c r="AE379" i="3" s="1"/>
  <c r="D379" i="3"/>
  <c r="G379" i="3" s="1"/>
  <c r="AG379" i="3"/>
  <c r="F379" i="3" l="1"/>
  <c r="I379" i="3"/>
  <c r="J379" i="3"/>
  <c r="M379" i="3"/>
  <c r="N379" i="3" s="1"/>
  <c r="V379" i="3"/>
  <c r="A380" i="3"/>
  <c r="B380" i="3" s="1"/>
  <c r="W379" i="3" l="1"/>
  <c r="L379" i="3"/>
  <c r="Z380" i="3"/>
  <c r="P380" i="3"/>
  <c r="Q380" i="3" s="1"/>
  <c r="R380" i="3" s="1"/>
  <c r="S380" i="3" s="1"/>
  <c r="AD380" i="3"/>
  <c r="AC380" i="3"/>
  <c r="AA380" i="3"/>
  <c r="T380" i="3" l="1"/>
  <c r="AH380" i="3" s="1"/>
  <c r="U379" i="3"/>
  <c r="Y378" i="3"/>
  <c r="AG380" i="3" l="1"/>
  <c r="E380" i="3"/>
  <c r="H380" i="3" s="1"/>
  <c r="K380" i="3" s="1"/>
  <c r="AE380" i="3" s="1"/>
  <c r="D380" i="3"/>
  <c r="V380" i="3" l="1"/>
  <c r="A381" i="3"/>
  <c r="B381" i="3" s="1"/>
  <c r="F380" i="3"/>
  <c r="G380" i="3"/>
  <c r="I380" i="3" l="1"/>
  <c r="W380" i="3" s="1"/>
  <c r="J380" i="3"/>
  <c r="M380" i="3"/>
  <c r="N380" i="3" s="1"/>
  <c r="Z381" i="3"/>
  <c r="AA381" i="3"/>
  <c r="AC381" i="3"/>
  <c r="P381" i="3"/>
  <c r="Q381" i="3" s="1"/>
  <c r="R381" i="3" s="1"/>
  <c r="S381" i="3" s="1"/>
  <c r="AD381" i="3"/>
  <c r="T381" i="3" l="1"/>
  <c r="L380" i="3"/>
  <c r="U380" i="3" l="1"/>
  <c r="E381" i="3" s="1"/>
  <c r="H381" i="3" s="1"/>
  <c r="AH381" i="3"/>
  <c r="AG381" i="3"/>
  <c r="Y379" i="3"/>
  <c r="K381" i="3" l="1"/>
  <c r="AE381" i="3" s="1"/>
  <c r="D381" i="3"/>
  <c r="V381" i="3" l="1"/>
  <c r="A382" i="3"/>
  <c r="B382" i="3" s="1"/>
  <c r="F381" i="3"/>
  <c r="G381" i="3"/>
  <c r="I381" i="3" l="1"/>
  <c r="W381" i="3" s="1"/>
  <c r="J381" i="3"/>
  <c r="M381" i="3"/>
  <c r="N381" i="3" s="1"/>
  <c r="AD382" i="3"/>
  <c r="AA382" i="3"/>
  <c r="Z382" i="3"/>
  <c r="P382" i="3"/>
  <c r="Q382" i="3" s="1"/>
  <c r="R382" i="3" s="1"/>
  <c r="S382" i="3" s="1"/>
  <c r="AC382" i="3"/>
  <c r="L381" i="3" l="1"/>
  <c r="T382" i="3"/>
  <c r="U381" i="3" l="1"/>
  <c r="E382" i="3" s="1"/>
  <c r="H382" i="3" s="1"/>
  <c r="AH382" i="3"/>
  <c r="AG382" i="3"/>
  <c r="Y380" i="3"/>
  <c r="D382" i="3" l="1"/>
  <c r="G382" i="3" s="1"/>
  <c r="K382" i="3"/>
  <c r="AE382" i="3" s="1"/>
  <c r="F382" i="3" l="1"/>
  <c r="I382" i="3"/>
  <c r="J382" i="3"/>
  <c r="M382" i="3"/>
  <c r="N382" i="3" s="1"/>
  <c r="V382" i="3"/>
  <c r="A383" i="3"/>
  <c r="B383" i="3" s="1"/>
  <c r="W382" i="3" l="1"/>
  <c r="L382" i="3"/>
  <c r="AD383" i="3"/>
  <c r="AA383" i="3"/>
  <c r="P383" i="3"/>
  <c r="Q383" i="3" s="1"/>
  <c r="R383" i="3" s="1"/>
  <c r="S383" i="3" s="1"/>
  <c r="Z383" i="3"/>
  <c r="AC383" i="3"/>
  <c r="U382" i="3" l="1"/>
  <c r="Y381" i="3"/>
  <c r="T383" i="3"/>
  <c r="E383" i="3" l="1"/>
  <c r="H383" i="3" s="1"/>
  <c r="K383" i="3" s="1"/>
  <c r="AE383" i="3" s="1"/>
  <c r="D383" i="3"/>
  <c r="AH383" i="3"/>
  <c r="AG383" i="3"/>
  <c r="V383" i="3" l="1"/>
  <c r="A384" i="3"/>
  <c r="B384" i="3" s="1"/>
  <c r="F383" i="3"/>
  <c r="G383" i="3"/>
  <c r="I383" i="3" l="1"/>
  <c r="W383" i="3" s="1"/>
  <c r="J383" i="3"/>
  <c r="M383" i="3"/>
  <c r="N383" i="3" s="1"/>
  <c r="P384" i="3"/>
  <c r="Q384" i="3" s="1"/>
  <c r="R384" i="3" s="1"/>
  <c r="S384" i="3" s="1"/>
  <c r="Z384" i="3"/>
  <c r="AC384" i="3"/>
  <c r="AA384" i="3"/>
  <c r="T384" i="3" l="1"/>
  <c r="L383" i="3"/>
  <c r="AG384" i="3" l="1"/>
  <c r="AH384" i="3"/>
  <c r="U383" i="3"/>
  <c r="D384" i="3" s="1"/>
  <c r="Y382" i="3"/>
  <c r="E384" i="3" l="1"/>
  <c r="H384" i="3" s="1"/>
  <c r="K384" i="3" s="1"/>
  <c r="AE384" i="3" s="1"/>
  <c r="G384" i="3"/>
  <c r="F384" i="3" l="1"/>
  <c r="I384" i="3"/>
  <c r="J384" i="3"/>
  <c r="AD384" i="3" s="1"/>
  <c r="M384" i="3"/>
  <c r="N384" i="3" s="1"/>
  <c r="V384" i="3"/>
  <c r="A385" i="3"/>
  <c r="B385" i="3" s="1"/>
  <c r="W384" i="3" l="1"/>
  <c r="L384" i="3"/>
  <c r="P385" i="3"/>
  <c r="Q385" i="3" s="1"/>
  <c r="R385" i="3" s="1"/>
  <c r="S385" i="3" s="1"/>
  <c r="AD385" i="3"/>
  <c r="Z385" i="3"/>
  <c r="AC385" i="3"/>
  <c r="AA385" i="3"/>
  <c r="U384" i="3" l="1"/>
  <c r="Y383" i="3"/>
  <c r="T385" i="3"/>
  <c r="AG385" i="3" s="1"/>
  <c r="D385" i="3" l="1"/>
  <c r="G385" i="3" s="1"/>
  <c r="E385" i="3"/>
  <c r="H385" i="3" s="1"/>
  <c r="K385" i="3" s="1"/>
  <c r="AE385" i="3" s="1"/>
  <c r="AH385" i="3"/>
  <c r="F385" i="3" l="1"/>
  <c r="V385" i="3"/>
  <c r="A386" i="3"/>
  <c r="B386" i="3" s="1"/>
  <c r="I385" i="3"/>
  <c r="J385" i="3"/>
  <c r="M385" i="3"/>
  <c r="N385" i="3" s="1"/>
  <c r="L385" i="3" l="1"/>
  <c r="W385" i="3"/>
  <c r="AC386" i="3"/>
  <c r="P386" i="3"/>
  <c r="Q386" i="3" s="1"/>
  <c r="R386" i="3" s="1"/>
  <c r="S386" i="3" s="1"/>
  <c r="AA386" i="3"/>
  <c r="AD386" i="3"/>
  <c r="Z386" i="3"/>
  <c r="T386" i="3" l="1"/>
  <c r="AH386" i="3" s="1"/>
  <c r="U385" i="3"/>
  <c r="Y384" i="3"/>
  <c r="D386" i="3" l="1"/>
  <c r="E386" i="3"/>
  <c r="H386" i="3" s="1"/>
  <c r="AG386" i="3"/>
  <c r="F386" i="3" l="1"/>
  <c r="G386" i="3"/>
  <c r="K386" i="3"/>
  <c r="AE386" i="3" s="1"/>
  <c r="I386" i="3" l="1"/>
  <c r="J386" i="3"/>
  <c r="M386" i="3"/>
  <c r="N386" i="3" s="1"/>
  <c r="V386" i="3"/>
  <c r="A387" i="3"/>
  <c r="B387" i="3" s="1"/>
  <c r="W386" i="3" l="1"/>
  <c r="L386" i="3"/>
  <c r="AD387" i="3"/>
  <c r="AA387" i="3"/>
  <c r="P387" i="3"/>
  <c r="Q387" i="3" s="1"/>
  <c r="R387" i="3" s="1"/>
  <c r="S387" i="3" s="1"/>
  <c r="AC387" i="3"/>
  <c r="Z387" i="3"/>
  <c r="U386" i="3" l="1"/>
  <c r="Y385" i="3"/>
  <c r="T387" i="3"/>
  <c r="AG387" i="3" s="1"/>
  <c r="AH387" i="3" l="1"/>
  <c r="D387" i="3"/>
  <c r="G387" i="3" s="1"/>
  <c r="E387" i="3"/>
  <c r="H387" i="3" s="1"/>
  <c r="F387" i="3" l="1"/>
  <c r="I387" i="3"/>
  <c r="J387" i="3"/>
  <c r="M387" i="3"/>
  <c r="N387" i="3" s="1"/>
  <c r="K387" i="3"/>
  <c r="AE387" i="3" s="1"/>
  <c r="V387" i="3" l="1"/>
  <c r="W387" i="3" s="1"/>
  <c r="A388" i="3"/>
  <c r="B388" i="3" s="1"/>
  <c r="L387" i="3"/>
  <c r="U387" i="3" l="1"/>
  <c r="Y386" i="3"/>
  <c r="AA388" i="3"/>
  <c r="Z388" i="3"/>
  <c r="P388" i="3"/>
  <c r="Q388" i="3" s="1"/>
  <c r="R388" i="3" s="1"/>
  <c r="S388" i="3" s="1"/>
  <c r="AD388" i="3"/>
  <c r="AC388" i="3"/>
  <c r="T388" i="3" l="1"/>
  <c r="E388" i="3" s="1"/>
  <c r="H388" i="3" s="1"/>
  <c r="K388" i="3" l="1"/>
  <c r="AE388" i="3" s="1"/>
  <c r="D388" i="3"/>
  <c r="AG388" i="3"/>
  <c r="AH388" i="3"/>
  <c r="V388" i="3" l="1"/>
  <c r="A389" i="3"/>
  <c r="B389" i="3" s="1"/>
  <c r="F388" i="3"/>
  <c r="G388" i="3"/>
  <c r="I388" i="3" l="1"/>
  <c r="W388" i="3" s="1"/>
  <c r="J388" i="3"/>
  <c r="M388" i="3"/>
  <c r="N388" i="3" s="1"/>
  <c r="P389" i="3"/>
  <c r="Q389" i="3" s="1"/>
  <c r="R389" i="3" s="1"/>
  <c r="S389" i="3" s="1"/>
  <c r="AA389" i="3"/>
  <c r="AD389" i="3"/>
  <c r="AC389" i="3"/>
  <c r="Z389" i="3"/>
  <c r="T389" i="3" l="1"/>
  <c r="L388" i="3"/>
  <c r="U388" i="3" l="1"/>
  <c r="E389" i="3" s="1"/>
  <c r="H389" i="3" s="1"/>
  <c r="AH389" i="3"/>
  <c r="AG389" i="3"/>
  <c r="Y387" i="3"/>
  <c r="D389" i="3" l="1"/>
  <c r="G389" i="3" s="1"/>
  <c r="K389" i="3"/>
  <c r="AE389" i="3" s="1"/>
  <c r="F389" i="3" l="1"/>
  <c r="V389" i="3"/>
  <c r="A390" i="3"/>
  <c r="B390" i="3" s="1"/>
  <c r="I389" i="3"/>
  <c r="J389" i="3"/>
  <c r="M389" i="3"/>
  <c r="N389" i="3" s="1"/>
  <c r="W389" i="3" l="1"/>
  <c r="L389" i="3"/>
  <c r="P390" i="3"/>
  <c r="Q390" i="3" s="1"/>
  <c r="R390" i="3" s="1"/>
  <c r="S390" i="3" s="1"/>
  <c r="AC390" i="3"/>
  <c r="AA390" i="3"/>
  <c r="Z390" i="3"/>
  <c r="AD390" i="3"/>
  <c r="U389" i="3" l="1"/>
  <c r="Y388" i="3"/>
  <c r="T390" i="3"/>
  <c r="AG390" i="3" s="1"/>
  <c r="D390" i="3" l="1"/>
  <c r="AH390" i="3"/>
  <c r="E390" i="3"/>
  <c r="H390" i="3" s="1"/>
  <c r="F390" i="3" l="1"/>
  <c r="G390" i="3"/>
  <c r="K390" i="3"/>
  <c r="AE390" i="3" s="1"/>
  <c r="I390" i="3" l="1"/>
  <c r="J390" i="3"/>
  <c r="M390" i="3"/>
  <c r="N390" i="3" s="1"/>
  <c r="V390" i="3"/>
  <c r="A391" i="3"/>
  <c r="B391" i="3" s="1"/>
  <c r="W390" i="3" l="1"/>
  <c r="L390" i="3"/>
  <c r="AC391" i="3"/>
  <c r="AA391" i="3"/>
  <c r="AD391" i="3"/>
  <c r="Z391" i="3"/>
  <c r="P391" i="3"/>
  <c r="Q391" i="3" s="1"/>
  <c r="R391" i="3" s="1"/>
  <c r="S391" i="3" s="1"/>
  <c r="U390" i="3" l="1"/>
  <c r="Y389" i="3"/>
  <c r="T391" i="3"/>
  <c r="E391" i="3" l="1"/>
  <c r="H391" i="3" s="1"/>
  <c r="K391" i="3" s="1"/>
  <c r="AE391" i="3" s="1"/>
  <c r="AG391" i="3"/>
  <c r="AH391" i="3"/>
  <c r="D391" i="3"/>
  <c r="V391" i="3" l="1"/>
  <c r="A392" i="3"/>
  <c r="B392" i="3" s="1"/>
  <c r="F391" i="3"/>
  <c r="G391" i="3"/>
  <c r="I391" i="3" l="1"/>
  <c r="W391" i="3" s="1"/>
  <c r="J391" i="3"/>
  <c r="M391" i="3"/>
  <c r="N391" i="3" s="1"/>
  <c r="AD392" i="3"/>
  <c r="Z392" i="3"/>
  <c r="P392" i="3"/>
  <c r="Q392" i="3" s="1"/>
  <c r="R392" i="3" s="1"/>
  <c r="S392" i="3" s="1"/>
  <c r="AA392" i="3"/>
  <c r="AC392" i="3"/>
  <c r="T392" i="3" l="1"/>
  <c r="L391" i="3"/>
  <c r="U391" i="3" l="1"/>
  <c r="D392" i="3" s="1"/>
  <c r="AH392" i="3"/>
  <c r="AG392" i="3"/>
  <c r="Y390" i="3"/>
  <c r="G392" i="3" l="1"/>
  <c r="E392" i="3"/>
  <c r="H392" i="3" s="1"/>
  <c r="F392" i="3" l="1"/>
  <c r="I392" i="3"/>
  <c r="J392" i="3"/>
  <c r="M392" i="3"/>
  <c r="N392" i="3" s="1"/>
  <c r="K392" i="3"/>
  <c r="AE392" i="3" s="1"/>
  <c r="V392" i="3" l="1"/>
  <c r="W392" i="3" s="1"/>
  <c r="A393" i="3"/>
  <c r="B393" i="3" s="1"/>
  <c r="L392" i="3"/>
  <c r="U392" i="3" l="1"/>
  <c r="Y391" i="3"/>
  <c r="AD393" i="3"/>
  <c r="Z393" i="3"/>
  <c r="AA393" i="3"/>
  <c r="P393" i="3"/>
  <c r="Q393" i="3" s="1"/>
  <c r="R393" i="3" s="1"/>
  <c r="S393" i="3" s="1"/>
  <c r="AC393" i="3"/>
  <c r="T393" i="3" l="1"/>
  <c r="AG393" i="3" s="1"/>
  <c r="E393" i="3" l="1"/>
  <c r="H393" i="3" s="1"/>
  <c r="K393" i="3" s="1"/>
  <c r="AE393" i="3" s="1"/>
  <c r="D393" i="3"/>
  <c r="AH393" i="3"/>
  <c r="V393" i="3" l="1"/>
  <c r="A394" i="3"/>
  <c r="B394" i="3" s="1"/>
  <c r="F393" i="3"/>
  <c r="G393" i="3"/>
  <c r="I393" i="3" l="1"/>
  <c r="W393" i="3" s="1"/>
  <c r="J393" i="3"/>
  <c r="M393" i="3"/>
  <c r="N393" i="3" s="1"/>
  <c r="P394" i="3"/>
  <c r="Q394" i="3" s="1"/>
  <c r="R394" i="3" s="1"/>
  <c r="S394" i="3" s="1"/>
  <c r="AC394" i="3"/>
  <c r="Z394" i="3"/>
  <c r="AA394" i="3"/>
  <c r="T394" i="3" l="1"/>
  <c r="L393" i="3"/>
  <c r="AH394" i="3" l="1"/>
  <c r="AG394" i="3"/>
  <c r="U393" i="3"/>
  <c r="D394" i="3" s="1"/>
  <c r="Y392" i="3"/>
  <c r="G394" i="3" l="1"/>
  <c r="E394" i="3"/>
  <c r="H394" i="3" s="1"/>
  <c r="F394" i="3" l="1"/>
  <c r="I394" i="3"/>
  <c r="J394" i="3"/>
  <c r="AD394" i="3" s="1"/>
  <c r="M394" i="3"/>
  <c r="N394" i="3" s="1"/>
  <c r="K394" i="3"/>
  <c r="AE394" i="3" s="1"/>
  <c r="L394" i="3" l="1"/>
  <c r="V394" i="3"/>
  <c r="W394" i="3" s="1"/>
  <c r="A395" i="3"/>
  <c r="B395" i="3" s="1"/>
  <c r="U394" i="3" l="1"/>
  <c r="Y393" i="3"/>
  <c r="AD395" i="3"/>
  <c r="AA395" i="3"/>
  <c r="P395" i="3"/>
  <c r="Q395" i="3" s="1"/>
  <c r="R395" i="3" s="1"/>
  <c r="S395" i="3" s="1"/>
  <c r="Z395" i="3"/>
  <c r="AC395" i="3"/>
  <c r="T395" i="3" l="1"/>
  <c r="AG395" i="3" s="1"/>
  <c r="AH395" i="3" l="1"/>
  <c r="E395" i="3"/>
  <c r="H395" i="3" s="1"/>
  <c r="K395" i="3" s="1"/>
  <c r="AE395" i="3" s="1"/>
  <c r="D395" i="3"/>
  <c r="G395" i="3" s="1"/>
  <c r="F395" i="3" l="1"/>
  <c r="V395" i="3"/>
  <c r="A396" i="3"/>
  <c r="B396" i="3" s="1"/>
  <c r="I395" i="3"/>
  <c r="J395" i="3"/>
  <c r="M395" i="3"/>
  <c r="N395" i="3" s="1"/>
  <c r="W395" i="3" l="1"/>
  <c r="L395" i="3"/>
  <c r="AA396" i="3"/>
  <c r="Z396" i="3"/>
  <c r="P396" i="3"/>
  <c r="Q396" i="3" s="1"/>
  <c r="R396" i="3" s="1"/>
  <c r="S396" i="3" s="1"/>
  <c r="AD396" i="3"/>
  <c r="AC396" i="3"/>
  <c r="U395" i="3" l="1"/>
  <c r="Y394" i="3"/>
  <c r="T396" i="3"/>
  <c r="E396" i="3" l="1"/>
  <c r="H396" i="3" s="1"/>
  <c r="K396" i="3" s="1"/>
  <c r="AE396" i="3" s="1"/>
  <c r="AG396" i="3"/>
  <c r="AH396" i="3"/>
  <c r="D396" i="3"/>
  <c r="F396" i="3" l="1"/>
  <c r="G396" i="3"/>
  <c r="V396" i="3"/>
  <c r="A397" i="3"/>
  <c r="B397" i="3" s="1"/>
  <c r="P397" i="3" l="1"/>
  <c r="Q397" i="3" s="1"/>
  <c r="R397" i="3" s="1"/>
  <c r="S397" i="3" s="1"/>
  <c r="AC397" i="3"/>
  <c r="AA397" i="3"/>
  <c r="Z397" i="3"/>
  <c r="AD397" i="3"/>
  <c r="I396" i="3"/>
  <c r="W396" i="3" s="1"/>
  <c r="J396" i="3"/>
  <c r="M396" i="3"/>
  <c r="N396" i="3" s="1"/>
  <c r="T397" i="3" l="1"/>
  <c r="L396" i="3"/>
  <c r="U396" i="3" l="1"/>
  <c r="E397" i="3" s="1"/>
  <c r="H397" i="3" s="1"/>
  <c r="AG397" i="3"/>
  <c r="AH397" i="3"/>
  <c r="Y395" i="3"/>
  <c r="D397" i="3" l="1"/>
  <c r="F397" i="3" s="1"/>
  <c r="K397" i="3"/>
  <c r="AE397" i="3" s="1"/>
  <c r="G397" i="3" l="1"/>
  <c r="M397" i="3" s="1"/>
  <c r="N397" i="3" s="1"/>
  <c r="V397" i="3"/>
  <c r="A398" i="3"/>
  <c r="B398" i="3" s="1"/>
  <c r="I397" i="3" l="1"/>
  <c r="W397" i="3" s="1"/>
  <c r="J397" i="3"/>
  <c r="L397" i="3" s="1"/>
  <c r="AD398" i="3"/>
  <c r="AC398" i="3"/>
  <c r="AA398" i="3"/>
  <c r="P398" i="3"/>
  <c r="Q398" i="3" s="1"/>
  <c r="R398" i="3" s="1"/>
  <c r="S398" i="3" s="1"/>
  <c r="Z398" i="3"/>
  <c r="T398" i="3" l="1"/>
  <c r="U397" i="3"/>
  <c r="Y396" i="3"/>
  <c r="E398" i="3" l="1"/>
  <c r="H398" i="3" s="1"/>
  <c r="K398" i="3" s="1"/>
  <c r="AE398" i="3" s="1"/>
  <c r="D398" i="3"/>
  <c r="G398" i="3" s="1"/>
  <c r="AH398" i="3"/>
  <c r="AG398" i="3"/>
  <c r="F398" i="3" l="1"/>
  <c r="V398" i="3"/>
  <c r="A399" i="3"/>
  <c r="B399" i="3" s="1"/>
  <c r="I398" i="3"/>
  <c r="J398" i="3"/>
  <c r="M398" i="3"/>
  <c r="N398" i="3" s="1"/>
  <c r="L398" i="3" l="1"/>
  <c r="W398" i="3"/>
  <c r="Z399" i="3"/>
  <c r="P399" i="3"/>
  <c r="Q399" i="3" s="1"/>
  <c r="R399" i="3" s="1"/>
  <c r="S399" i="3" s="1"/>
  <c r="AD399" i="3"/>
  <c r="AA399" i="3"/>
  <c r="AC399" i="3"/>
  <c r="U398" i="3" l="1"/>
  <c r="Y397" i="3"/>
  <c r="T399" i="3"/>
  <c r="AH399" i="3" s="1"/>
  <c r="D399" i="3" l="1"/>
  <c r="G399" i="3" s="1"/>
  <c r="AG399" i="3"/>
  <c r="E399" i="3"/>
  <c r="H399" i="3" s="1"/>
  <c r="F399" i="3" l="1"/>
  <c r="I399" i="3"/>
  <c r="J399" i="3"/>
  <c r="M399" i="3"/>
  <c r="N399" i="3" s="1"/>
  <c r="K399" i="3"/>
  <c r="AE399" i="3" s="1"/>
  <c r="V399" i="3" l="1"/>
  <c r="W399" i="3" s="1"/>
  <c r="A400" i="3"/>
  <c r="B400" i="3" s="1"/>
  <c r="L399" i="3"/>
  <c r="U399" i="3" l="1"/>
  <c r="Y398" i="3"/>
  <c r="AD400" i="3"/>
  <c r="AC400" i="3"/>
  <c r="Z400" i="3"/>
  <c r="P400" i="3"/>
  <c r="Q400" i="3" s="1"/>
  <c r="R400" i="3" s="1"/>
  <c r="S400" i="3" s="1"/>
  <c r="AA400" i="3"/>
  <c r="T400" i="3" l="1"/>
  <c r="AH400" i="3" s="1"/>
  <c r="AG400" i="3" l="1"/>
  <c r="D400" i="3"/>
  <c r="G400" i="3" s="1"/>
  <c r="E400" i="3"/>
  <c r="H400" i="3" s="1"/>
  <c r="K400" i="3" s="1"/>
  <c r="AE400" i="3" s="1"/>
  <c r="F400" i="3" l="1"/>
  <c r="V400" i="3"/>
  <c r="A401" i="3"/>
  <c r="B401" i="3" s="1"/>
  <c r="I400" i="3"/>
  <c r="J400" i="3"/>
  <c r="M400" i="3"/>
  <c r="N400" i="3" s="1"/>
  <c r="W400" i="3" l="1"/>
  <c r="L400" i="3"/>
  <c r="AA401" i="3"/>
  <c r="Z401" i="3"/>
  <c r="AC401" i="3"/>
  <c r="AD401" i="3"/>
  <c r="P401" i="3"/>
  <c r="Q401" i="3" s="1"/>
  <c r="R401" i="3" s="1"/>
  <c r="S401" i="3" s="1"/>
  <c r="U400" i="3" l="1"/>
  <c r="Y399" i="3"/>
  <c r="T401" i="3"/>
  <c r="AG401" i="3" s="1"/>
  <c r="D401" i="3" l="1"/>
  <c r="E401" i="3"/>
  <c r="H401" i="3" s="1"/>
  <c r="K401" i="3" s="1"/>
  <c r="AE401" i="3" s="1"/>
  <c r="AH401" i="3"/>
  <c r="F401" i="3" l="1"/>
  <c r="G401" i="3"/>
  <c r="J401" i="3" s="1"/>
  <c r="V401" i="3"/>
  <c r="A402" i="3"/>
  <c r="B402" i="3" s="1"/>
  <c r="M401" i="3" l="1"/>
  <c r="N401" i="3" s="1"/>
  <c r="I401" i="3"/>
  <c r="W401" i="3" s="1"/>
  <c r="L401" i="3"/>
  <c r="AA402" i="3"/>
  <c r="AC402" i="3"/>
  <c r="Z402" i="3"/>
  <c r="AD402" i="3"/>
  <c r="P402" i="3"/>
  <c r="Q402" i="3" s="1"/>
  <c r="R402" i="3" s="1"/>
  <c r="S402" i="3" s="1"/>
  <c r="U401" i="3" l="1"/>
  <c r="Y400" i="3"/>
  <c r="T402" i="3"/>
  <c r="AG402" i="3" s="1"/>
  <c r="AH402" i="3" l="1"/>
  <c r="E402" i="3"/>
  <c r="H402" i="3" s="1"/>
  <c r="K402" i="3" s="1"/>
  <c r="AE402" i="3" s="1"/>
  <c r="D402" i="3"/>
  <c r="G402" i="3" s="1"/>
  <c r="F402" i="3" l="1"/>
  <c r="I402" i="3"/>
  <c r="J402" i="3"/>
  <c r="M402" i="3"/>
  <c r="N402" i="3" s="1"/>
  <c r="V402" i="3"/>
  <c r="A403" i="3"/>
  <c r="B403" i="3" s="1"/>
  <c r="W402" i="3" l="1"/>
  <c r="L402" i="3"/>
  <c r="AC403" i="3"/>
  <c r="AA403" i="3"/>
  <c r="P403" i="3"/>
  <c r="Q403" i="3" s="1"/>
  <c r="R403" i="3" s="1"/>
  <c r="S403" i="3" s="1"/>
  <c r="Z403" i="3"/>
  <c r="AD403" i="3"/>
  <c r="T403" i="3" l="1"/>
  <c r="AH403" i="3" s="1"/>
  <c r="U402" i="3"/>
  <c r="Y401" i="3"/>
  <c r="AG403" i="3" l="1"/>
  <c r="D403" i="3"/>
  <c r="E403" i="3"/>
  <c r="H403" i="3" s="1"/>
  <c r="F403" i="3" l="1"/>
  <c r="G403" i="3"/>
  <c r="K403" i="3"/>
  <c r="AE403" i="3" s="1"/>
  <c r="V403" i="3" l="1"/>
  <c r="A404" i="3"/>
  <c r="B404" i="3" s="1"/>
  <c r="I403" i="3"/>
  <c r="J403" i="3"/>
  <c r="M403" i="3"/>
  <c r="N403" i="3" s="1"/>
  <c r="W403" i="3" l="1"/>
  <c r="L403" i="3"/>
  <c r="P404" i="3"/>
  <c r="Q404" i="3" s="1"/>
  <c r="R404" i="3" s="1"/>
  <c r="S404" i="3" s="1"/>
  <c r="AA404" i="3"/>
  <c r="Z404" i="3"/>
  <c r="AC404" i="3"/>
  <c r="U403" i="3" l="1"/>
  <c r="Y402" i="3"/>
  <c r="T404" i="3"/>
  <c r="AG404" i="3" s="1"/>
  <c r="E404" i="3" l="1"/>
  <c r="H404" i="3" s="1"/>
  <c r="K404" i="3" s="1"/>
  <c r="AE404" i="3" s="1"/>
  <c r="AH404" i="3"/>
  <c r="D404" i="3"/>
  <c r="G404" i="3" s="1"/>
  <c r="F404" i="3" l="1"/>
  <c r="I404" i="3"/>
  <c r="J404" i="3"/>
  <c r="AD404" i="3" s="1"/>
  <c r="M404" i="3"/>
  <c r="N404" i="3" s="1"/>
  <c r="V404" i="3"/>
  <c r="A405" i="3"/>
  <c r="B405" i="3" s="1"/>
  <c r="W404" i="3" l="1"/>
  <c r="L404" i="3"/>
  <c r="P405" i="3"/>
  <c r="Q405" i="3" s="1"/>
  <c r="R405" i="3" s="1"/>
  <c r="S405" i="3" s="1"/>
  <c r="AC405" i="3"/>
  <c r="Z405" i="3"/>
  <c r="AD405" i="3"/>
  <c r="AA405" i="3"/>
  <c r="U404" i="3" l="1"/>
  <c r="Y403" i="3"/>
  <c r="T405" i="3"/>
  <c r="E405" i="3" l="1"/>
  <c r="H405" i="3" s="1"/>
  <c r="K405" i="3" s="1"/>
  <c r="AE405" i="3" s="1"/>
  <c r="AH405" i="3"/>
  <c r="D405" i="3"/>
  <c r="AG405" i="3"/>
  <c r="F405" i="3" l="1"/>
  <c r="G405" i="3"/>
  <c r="V405" i="3"/>
  <c r="A406" i="3"/>
  <c r="B406" i="3" s="1"/>
  <c r="AD406" i="3" l="1"/>
  <c r="AA406" i="3"/>
  <c r="AC406" i="3"/>
  <c r="Z406" i="3"/>
  <c r="P406" i="3"/>
  <c r="Q406" i="3" s="1"/>
  <c r="R406" i="3" s="1"/>
  <c r="S406" i="3" s="1"/>
  <c r="I405" i="3"/>
  <c r="W405" i="3" s="1"/>
  <c r="J405" i="3"/>
  <c r="M405" i="3"/>
  <c r="N405" i="3" s="1"/>
  <c r="T406" i="3" l="1"/>
  <c r="L405" i="3"/>
  <c r="U405" i="3" l="1"/>
  <c r="E406" i="3" s="1"/>
  <c r="H406" i="3" s="1"/>
  <c r="AH406" i="3"/>
  <c r="AG406" i="3"/>
  <c r="Y404" i="3"/>
  <c r="K406" i="3" l="1"/>
  <c r="AE406" i="3" s="1"/>
  <c r="D406" i="3"/>
  <c r="V406" i="3" l="1"/>
  <c r="A407" i="3"/>
  <c r="B407" i="3" s="1"/>
  <c r="F406" i="3"/>
  <c r="G406" i="3"/>
  <c r="I406" i="3" l="1"/>
  <c r="W406" i="3" s="1"/>
  <c r="J406" i="3"/>
  <c r="M406" i="3"/>
  <c r="N406" i="3" s="1"/>
  <c r="AC407" i="3"/>
  <c r="Z407" i="3"/>
  <c r="P407" i="3"/>
  <c r="Q407" i="3" s="1"/>
  <c r="R407" i="3" s="1"/>
  <c r="S407" i="3" s="1"/>
  <c r="AD407" i="3"/>
  <c r="AA407" i="3"/>
  <c r="L406" i="3" l="1"/>
  <c r="T407" i="3"/>
  <c r="U406" i="3" l="1"/>
  <c r="D407" i="3" s="1"/>
  <c r="AG407" i="3"/>
  <c r="AH407" i="3"/>
  <c r="Y405" i="3"/>
  <c r="G407" i="3" l="1"/>
  <c r="E407" i="3"/>
  <c r="H407" i="3" s="1"/>
  <c r="F407" i="3" l="1"/>
  <c r="I407" i="3"/>
  <c r="J407" i="3"/>
  <c r="M407" i="3"/>
  <c r="N407" i="3" s="1"/>
  <c r="K407" i="3"/>
  <c r="AE407" i="3" s="1"/>
  <c r="V407" i="3" l="1"/>
  <c r="W407" i="3" s="1"/>
  <c r="A408" i="3"/>
  <c r="B408" i="3" s="1"/>
  <c r="L407" i="3"/>
  <c r="U407" i="3" l="1"/>
  <c r="Y406" i="3"/>
  <c r="Z408" i="3"/>
  <c r="AC408" i="3"/>
  <c r="AD408" i="3"/>
  <c r="P408" i="3"/>
  <c r="Q408" i="3" s="1"/>
  <c r="R408" i="3" s="1"/>
  <c r="S408" i="3" s="1"/>
  <c r="AA408" i="3"/>
  <c r="T408" i="3" l="1"/>
  <c r="AH408" i="3" s="1"/>
  <c r="E408" i="3" l="1"/>
  <c r="H408" i="3" s="1"/>
  <c r="K408" i="3" s="1"/>
  <c r="AE408" i="3" s="1"/>
  <c r="D408" i="3"/>
  <c r="G408" i="3" s="1"/>
  <c r="AG408" i="3"/>
  <c r="F408" i="3" l="1"/>
  <c r="I408" i="3"/>
  <c r="J408" i="3"/>
  <c r="M408" i="3"/>
  <c r="N408" i="3" s="1"/>
  <c r="V408" i="3"/>
  <c r="A409" i="3"/>
  <c r="B409" i="3" s="1"/>
  <c r="W408" i="3" l="1"/>
  <c r="L408" i="3"/>
  <c r="AA409" i="3"/>
  <c r="AC409" i="3"/>
  <c r="P409" i="3"/>
  <c r="Q409" i="3" s="1"/>
  <c r="R409" i="3" s="1"/>
  <c r="S409" i="3" s="1"/>
  <c r="AD409" i="3"/>
  <c r="Z409" i="3"/>
  <c r="U408" i="3" l="1"/>
  <c r="Y407" i="3"/>
  <c r="T409" i="3"/>
  <c r="E409" i="3" l="1"/>
  <c r="H409" i="3" s="1"/>
  <c r="K409" i="3" s="1"/>
  <c r="AE409" i="3" s="1"/>
  <c r="AH409" i="3"/>
  <c r="D409" i="3"/>
  <c r="AG409" i="3"/>
  <c r="F409" i="3" l="1"/>
  <c r="G409" i="3"/>
  <c r="V409" i="3"/>
  <c r="A410" i="3"/>
  <c r="B410" i="3" s="1"/>
  <c r="P410" i="3" l="1"/>
  <c r="Q410" i="3" s="1"/>
  <c r="R410" i="3" s="1"/>
  <c r="S410" i="3" s="1"/>
  <c r="AA410" i="3"/>
  <c r="AC410" i="3"/>
  <c r="AD410" i="3"/>
  <c r="Z410" i="3"/>
  <c r="I409" i="3"/>
  <c r="W409" i="3" s="1"/>
  <c r="J409" i="3"/>
  <c r="M409" i="3"/>
  <c r="N409" i="3" s="1"/>
  <c r="T410" i="3" l="1"/>
  <c r="L409" i="3"/>
  <c r="AG410" i="3" l="1"/>
  <c r="U409" i="3"/>
  <c r="D410" i="3" s="1"/>
  <c r="AH410" i="3"/>
  <c r="Y408" i="3"/>
  <c r="E410" i="3" l="1"/>
  <c r="H410" i="3" s="1"/>
  <c r="K410" i="3" s="1"/>
  <c r="AE410" i="3" s="1"/>
  <c r="G410" i="3"/>
  <c r="F410" i="3" l="1"/>
  <c r="I410" i="3"/>
  <c r="J410" i="3"/>
  <c r="M410" i="3"/>
  <c r="N410" i="3" s="1"/>
  <c r="V410" i="3"/>
  <c r="A411" i="3"/>
  <c r="B411" i="3" s="1"/>
  <c r="W410" i="3" l="1"/>
  <c r="L410" i="3"/>
  <c r="AC411" i="3"/>
  <c r="P411" i="3"/>
  <c r="Q411" i="3" s="1"/>
  <c r="R411" i="3" s="1"/>
  <c r="S411" i="3" s="1"/>
  <c r="AA411" i="3"/>
  <c r="Z411" i="3"/>
  <c r="AD411" i="3"/>
  <c r="U410" i="3" l="1"/>
  <c r="Y409" i="3"/>
  <c r="T411" i="3"/>
  <c r="AG411" i="3" s="1"/>
  <c r="E411" i="3" l="1"/>
  <c r="H411" i="3" s="1"/>
  <c r="K411" i="3" s="1"/>
  <c r="AE411" i="3" s="1"/>
  <c r="AH411" i="3"/>
  <c r="D411" i="3"/>
  <c r="F411" i="3" l="1"/>
  <c r="G411" i="3"/>
  <c r="V411" i="3"/>
  <c r="A412" i="3"/>
  <c r="B412" i="3" s="1"/>
  <c r="AA412" i="3" l="1"/>
  <c r="AC412" i="3"/>
  <c r="P412" i="3"/>
  <c r="Q412" i="3" s="1"/>
  <c r="R412" i="3" s="1"/>
  <c r="S412" i="3" s="1"/>
  <c r="Z412" i="3"/>
  <c r="AD412" i="3"/>
  <c r="I411" i="3"/>
  <c r="W411" i="3" s="1"/>
  <c r="J411" i="3"/>
  <c r="M411" i="3"/>
  <c r="N411" i="3" s="1"/>
  <c r="T412" i="3" l="1"/>
  <c r="L411" i="3"/>
  <c r="U411" i="3" l="1"/>
  <c r="D412" i="3" s="1"/>
  <c r="AG412" i="3"/>
  <c r="AH412" i="3"/>
  <c r="Y410" i="3"/>
  <c r="G412" i="3" l="1"/>
  <c r="E412" i="3"/>
  <c r="H412" i="3" s="1"/>
  <c r="F412" i="3" l="1"/>
  <c r="I412" i="3"/>
  <c r="J412" i="3"/>
  <c r="M412" i="3"/>
  <c r="N412" i="3" s="1"/>
  <c r="K412" i="3"/>
  <c r="AE412" i="3" s="1"/>
  <c r="V412" i="3" l="1"/>
  <c r="W412" i="3" s="1"/>
  <c r="A413" i="3"/>
  <c r="B413" i="3" s="1"/>
  <c r="L412" i="3"/>
  <c r="U412" i="3" l="1"/>
  <c r="Y411" i="3"/>
  <c r="Z413" i="3"/>
  <c r="P413" i="3"/>
  <c r="Q413" i="3" s="1"/>
  <c r="R413" i="3" s="1"/>
  <c r="S413" i="3" s="1"/>
  <c r="AA413" i="3"/>
  <c r="AC413" i="3"/>
  <c r="AD413" i="3"/>
  <c r="T413" i="3" l="1"/>
  <c r="D413" i="3" s="1"/>
  <c r="E413" i="3" l="1"/>
  <c r="H413" i="3" s="1"/>
  <c r="K413" i="3" s="1"/>
  <c r="AE413" i="3" s="1"/>
  <c r="AH413" i="3"/>
  <c r="G413" i="3"/>
  <c r="AG413" i="3"/>
  <c r="F413" i="3" l="1"/>
  <c r="I413" i="3"/>
  <c r="J413" i="3"/>
  <c r="M413" i="3"/>
  <c r="N413" i="3" s="1"/>
  <c r="V413" i="3"/>
  <c r="A414" i="3"/>
  <c r="B414" i="3" s="1"/>
  <c r="L413" i="3" l="1"/>
  <c r="P414" i="3"/>
  <c r="Q414" i="3" s="1"/>
  <c r="R414" i="3" s="1"/>
  <c r="S414" i="3" s="1"/>
  <c r="Z414" i="3"/>
  <c r="AA414" i="3"/>
  <c r="AC414" i="3"/>
  <c r="W413" i="3"/>
  <c r="U413" i="3" l="1"/>
  <c r="Y412" i="3"/>
  <c r="T414" i="3"/>
  <c r="D414" i="3" l="1"/>
  <c r="G414" i="3" s="1"/>
  <c r="E414" i="3"/>
  <c r="H414" i="3" s="1"/>
  <c r="K414" i="3" s="1"/>
  <c r="AE414" i="3" s="1"/>
  <c r="AG414" i="3"/>
  <c r="AH414" i="3"/>
  <c r="F414" i="3" l="1"/>
  <c r="I414" i="3"/>
  <c r="J414" i="3"/>
  <c r="AD414" i="3" s="1"/>
  <c r="M414" i="3"/>
  <c r="N414" i="3" s="1"/>
  <c r="V414" i="3"/>
  <c r="A415" i="3"/>
  <c r="B415" i="3" s="1"/>
  <c r="W414" i="3" l="1"/>
  <c r="L414" i="3"/>
  <c r="P415" i="3"/>
  <c r="Q415" i="3" s="1"/>
  <c r="R415" i="3" s="1"/>
  <c r="S415" i="3" s="1"/>
  <c r="AA415" i="3"/>
  <c r="Z415" i="3"/>
  <c r="AC415" i="3"/>
  <c r="U414" i="3" l="1"/>
  <c r="Y413" i="3"/>
  <c r="T415" i="3"/>
  <c r="D415" i="3" l="1"/>
  <c r="G415" i="3" s="1"/>
  <c r="AG415" i="3"/>
  <c r="AH415" i="3"/>
  <c r="E415" i="3"/>
  <c r="H415" i="3" s="1"/>
  <c r="F415" i="3" l="1"/>
  <c r="K415" i="3"/>
  <c r="AE415" i="3" s="1"/>
  <c r="I415" i="3"/>
  <c r="J415" i="3"/>
  <c r="AD415" i="3" s="1"/>
  <c r="M415" i="3"/>
  <c r="N415" i="3" s="1"/>
  <c r="L415" i="3" l="1"/>
  <c r="V415" i="3"/>
  <c r="W415" i="3" s="1"/>
  <c r="A416" i="3"/>
  <c r="B416" i="3" s="1"/>
  <c r="Z416" i="3" l="1"/>
  <c r="AA416" i="3"/>
  <c r="P416" i="3"/>
  <c r="Q416" i="3" s="1"/>
  <c r="R416" i="3" s="1"/>
  <c r="S416" i="3" s="1"/>
  <c r="AC416" i="3"/>
  <c r="U415" i="3"/>
  <c r="Y414" i="3"/>
  <c r="T416" i="3" l="1"/>
  <c r="AG416" i="3" s="1"/>
  <c r="D416" i="3" l="1"/>
  <c r="G416" i="3" s="1"/>
  <c r="E416" i="3"/>
  <c r="H416" i="3" s="1"/>
  <c r="K416" i="3" s="1"/>
  <c r="AE416" i="3" s="1"/>
  <c r="AH416" i="3"/>
  <c r="F416" i="3" l="1"/>
  <c r="V416" i="3"/>
  <c r="A417" i="3"/>
  <c r="B417" i="3" s="1"/>
  <c r="I416" i="3"/>
  <c r="J416" i="3"/>
  <c r="AD416" i="3" s="1"/>
  <c r="M416" i="3"/>
  <c r="N416" i="3" s="1"/>
  <c r="W416" i="3" l="1"/>
  <c r="L416" i="3"/>
  <c r="Z417" i="3"/>
  <c r="AC417" i="3"/>
  <c r="AA417" i="3"/>
  <c r="P417" i="3"/>
  <c r="Q417" i="3" s="1"/>
  <c r="R417" i="3" s="1"/>
  <c r="S417" i="3" s="1"/>
  <c r="U416" i="3" l="1"/>
  <c r="Y415" i="3"/>
  <c r="T417" i="3"/>
  <c r="D417" i="3" l="1"/>
  <c r="G417" i="3" s="1"/>
  <c r="AH417" i="3"/>
  <c r="E417" i="3"/>
  <c r="H417" i="3" s="1"/>
  <c r="K417" i="3" s="1"/>
  <c r="AE417" i="3" s="1"/>
  <c r="AG417" i="3"/>
  <c r="F417" i="3" l="1"/>
  <c r="V417" i="3"/>
  <c r="A418" i="3"/>
  <c r="B418" i="3" s="1"/>
  <c r="I417" i="3"/>
  <c r="J417" i="3"/>
  <c r="AD417" i="3" s="1"/>
  <c r="M417" i="3"/>
  <c r="N417" i="3" s="1"/>
  <c r="W417" i="3" l="1"/>
  <c r="L417" i="3"/>
  <c r="Z418" i="3"/>
  <c r="AA418" i="3"/>
  <c r="AC418" i="3"/>
  <c r="P418" i="3"/>
  <c r="Q418" i="3" s="1"/>
  <c r="R418" i="3" s="1"/>
  <c r="S418" i="3" s="1"/>
  <c r="T418" i="3" l="1"/>
  <c r="U417" i="3"/>
  <c r="Y416" i="3"/>
  <c r="D418" i="3" l="1"/>
  <c r="G418" i="3" s="1"/>
  <c r="E418" i="3"/>
  <c r="H418" i="3" s="1"/>
  <c r="AG418" i="3"/>
  <c r="AH418" i="3"/>
  <c r="F418" i="3" l="1"/>
  <c r="I418" i="3"/>
  <c r="J418" i="3"/>
  <c r="AD418" i="3" s="1"/>
  <c r="M418" i="3"/>
  <c r="N418" i="3" s="1"/>
  <c r="K418" i="3"/>
  <c r="AE418" i="3" s="1"/>
  <c r="V418" i="3" l="1"/>
  <c r="W418" i="3" s="1"/>
  <c r="A419" i="3"/>
  <c r="B419" i="3" s="1"/>
  <c r="L418" i="3"/>
  <c r="U418" i="3" l="1"/>
  <c r="Y417" i="3"/>
  <c r="AA419" i="3"/>
  <c r="P419" i="3"/>
  <c r="Q419" i="3" s="1"/>
  <c r="R419" i="3" s="1"/>
  <c r="S419" i="3" s="1"/>
  <c r="Z419" i="3"/>
  <c r="AC419" i="3"/>
  <c r="T419" i="3" l="1"/>
  <c r="AG419" i="3" s="1"/>
  <c r="AH419" i="3" l="1"/>
  <c r="E419" i="3"/>
  <c r="H419" i="3" s="1"/>
  <c r="K419" i="3" s="1"/>
  <c r="AE419" i="3" s="1"/>
  <c r="D419" i="3"/>
  <c r="F419" i="3" l="1"/>
  <c r="G419" i="3"/>
  <c r="J419" i="3" s="1"/>
  <c r="AD419" i="3" s="1"/>
  <c r="V419" i="3"/>
  <c r="A420" i="3"/>
  <c r="B420" i="3" s="1"/>
  <c r="I419" i="3" l="1"/>
  <c r="W419" i="3" s="1"/>
  <c r="M419" i="3"/>
  <c r="N419" i="3" s="1"/>
  <c r="L419" i="3"/>
  <c r="AC420" i="3"/>
  <c r="AA420" i="3"/>
  <c r="Z420" i="3"/>
  <c r="P420" i="3"/>
  <c r="Q420" i="3" s="1"/>
  <c r="R420" i="3" s="1"/>
  <c r="S420" i="3" s="1"/>
  <c r="T420" i="3" l="1"/>
  <c r="AH420" i="3" s="1"/>
  <c r="U419" i="3"/>
  <c r="Y418" i="3"/>
  <c r="E420" i="3" l="1"/>
  <c r="H420" i="3" s="1"/>
  <c r="K420" i="3" s="1"/>
  <c r="AE420" i="3" s="1"/>
  <c r="D420" i="3"/>
  <c r="AG420" i="3"/>
  <c r="V420" i="3" l="1"/>
  <c r="A421" i="3"/>
  <c r="B421" i="3" s="1"/>
  <c r="F420" i="3"/>
  <c r="G420" i="3"/>
  <c r="I420" i="3" l="1"/>
  <c r="W420" i="3" s="1"/>
  <c r="J420" i="3"/>
  <c r="AD420" i="3" s="1"/>
  <c r="M420" i="3"/>
  <c r="N420" i="3" s="1"/>
  <c r="Z421" i="3"/>
  <c r="P421" i="3"/>
  <c r="Q421" i="3" s="1"/>
  <c r="R421" i="3" s="1"/>
  <c r="S421" i="3" s="1"/>
  <c r="AC421" i="3"/>
  <c r="AA421" i="3"/>
  <c r="T421" i="3" l="1"/>
  <c r="L420" i="3"/>
  <c r="U420" i="3" l="1"/>
  <c r="D421" i="3" s="1"/>
  <c r="AH421" i="3"/>
  <c r="AG421" i="3"/>
  <c r="Y419" i="3"/>
  <c r="E421" i="3" l="1"/>
  <c r="H421" i="3" s="1"/>
  <c r="K421" i="3" s="1"/>
  <c r="AE421" i="3" s="1"/>
  <c r="G421" i="3"/>
  <c r="F421" i="3" l="1"/>
  <c r="V421" i="3"/>
  <c r="A422" i="3"/>
  <c r="B422" i="3" s="1"/>
  <c r="I421" i="3"/>
  <c r="J421" i="3"/>
  <c r="AD421" i="3" s="1"/>
  <c r="M421" i="3"/>
  <c r="N421" i="3" s="1"/>
  <c r="W421" i="3" l="1"/>
  <c r="L421" i="3"/>
  <c r="Z422" i="3"/>
  <c r="P422" i="3"/>
  <c r="Q422" i="3" s="1"/>
  <c r="R422" i="3" s="1"/>
  <c r="S422" i="3" s="1"/>
  <c r="AC422" i="3"/>
  <c r="AA422" i="3"/>
  <c r="U421" i="3" l="1"/>
  <c r="Y420" i="3"/>
  <c r="T422" i="3"/>
  <c r="D422" i="3" l="1"/>
  <c r="G422" i="3" s="1"/>
  <c r="AG422" i="3"/>
  <c r="E422" i="3"/>
  <c r="H422" i="3" s="1"/>
  <c r="K422" i="3" s="1"/>
  <c r="AE422" i="3" s="1"/>
  <c r="AH422" i="3"/>
  <c r="F422" i="3" l="1"/>
  <c r="V422" i="3"/>
  <c r="A423" i="3"/>
  <c r="B423" i="3" s="1"/>
  <c r="I422" i="3"/>
  <c r="J422" i="3"/>
  <c r="AD422" i="3" s="1"/>
  <c r="M422" i="3"/>
  <c r="N422" i="3" s="1"/>
  <c r="L422" i="3" l="1"/>
  <c r="W422" i="3"/>
  <c r="P423" i="3"/>
  <c r="Q423" i="3" s="1"/>
  <c r="R423" i="3" s="1"/>
  <c r="S423" i="3" s="1"/>
  <c r="Z423" i="3"/>
  <c r="AC423" i="3"/>
  <c r="AA423" i="3"/>
  <c r="U422" i="3" l="1"/>
  <c r="Y421" i="3"/>
  <c r="T423" i="3"/>
  <c r="D423" i="3" l="1"/>
  <c r="G423" i="3" s="1"/>
  <c r="AH423" i="3"/>
  <c r="E423" i="3"/>
  <c r="H423" i="3" s="1"/>
  <c r="K423" i="3" s="1"/>
  <c r="AE423" i="3" s="1"/>
  <c r="AG423" i="3"/>
  <c r="F423" i="3" l="1"/>
  <c r="V423" i="3"/>
  <c r="A424" i="3"/>
  <c r="B424" i="3" s="1"/>
  <c r="I423" i="3"/>
  <c r="J423" i="3"/>
  <c r="AD423" i="3" s="1"/>
  <c r="M423" i="3"/>
  <c r="N423" i="3" s="1"/>
  <c r="W423" i="3" l="1"/>
  <c r="L423" i="3"/>
  <c r="AA424" i="3"/>
  <c r="P424" i="3"/>
  <c r="Q424" i="3" s="1"/>
  <c r="R424" i="3" s="1"/>
  <c r="S424" i="3" s="1"/>
  <c r="Z424" i="3"/>
  <c r="AC424" i="3"/>
  <c r="T424" i="3" l="1"/>
  <c r="U423" i="3"/>
  <c r="Y422" i="3"/>
  <c r="D424" i="3" l="1"/>
  <c r="G424" i="3" s="1"/>
  <c r="E424" i="3"/>
  <c r="H424" i="3" s="1"/>
  <c r="K424" i="3" s="1"/>
  <c r="AE424" i="3" s="1"/>
  <c r="AG424" i="3"/>
  <c r="AH424" i="3"/>
  <c r="F424" i="3" l="1"/>
  <c r="V424" i="3"/>
  <c r="A425" i="3"/>
  <c r="B425" i="3" s="1"/>
  <c r="I424" i="3"/>
  <c r="J424" i="3"/>
  <c r="AD424" i="3" s="1"/>
  <c r="M424" i="3"/>
  <c r="N424" i="3" s="1"/>
  <c r="W424" i="3" l="1"/>
  <c r="L424" i="3"/>
  <c r="Z425" i="3"/>
  <c r="AA425" i="3"/>
  <c r="P425" i="3"/>
  <c r="Q425" i="3" s="1"/>
  <c r="R425" i="3" s="1"/>
  <c r="S425" i="3" s="1"/>
  <c r="AC425" i="3"/>
  <c r="AD425" i="3"/>
  <c r="U424" i="3" l="1"/>
  <c r="Y423" i="3"/>
  <c r="T425" i="3"/>
  <c r="E425" i="3" l="1"/>
  <c r="H425" i="3" s="1"/>
  <c r="K425" i="3" s="1"/>
  <c r="AE425" i="3" s="1"/>
  <c r="D425" i="3"/>
  <c r="G425" i="3" s="1"/>
  <c r="AH425" i="3"/>
  <c r="AG425" i="3"/>
  <c r="F425" i="3" l="1"/>
  <c r="I425" i="3"/>
  <c r="J425" i="3"/>
  <c r="M425" i="3"/>
  <c r="N425" i="3" s="1"/>
  <c r="V425" i="3"/>
  <c r="A426" i="3"/>
  <c r="B426" i="3" s="1"/>
  <c r="L425" i="3" l="1"/>
  <c r="W425" i="3"/>
  <c r="P426" i="3"/>
  <c r="Q426" i="3" s="1"/>
  <c r="R426" i="3" s="1"/>
  <c r="S426" i="3" s="1"/>
  <c r="AA426" i="3"/>
  <c r="AD426" i="3"/>
  <c r="Z426" i="3"/>
  <c r="AC426" i="3"/>
  <c r="U425" i="3" l="1"/>
  <c r="Y424" i="3"/>
  <c r="T426" i="3"/>
  <c r="AH426" i="3" s="1"/>
  <c r="E426" i="3" l="1"/>
  <c r="H426" i="3" s="1"/>
  <c r="D426" i="3"/>
  <c r="AG426" i="3"/>
  <c r="K426" i="3" l="1"/>
  <c r="AE426" i="3" s="1"/>
  <c r="F426" i="3"/>
  <c r="G426" i="3"/>
  <c r="V426" i="3" l="1"/>
  <c r="A427" i="3"/>
  <c r="B427" i="3" s="1"/>
  <c r="I426" i="3"/>
  <c r="J426" i="3"/>
  <c r="M426" i="3"/>
  <c r="N426" i="3" s="1"/>
  <c r="W426" i="3" l="1"/>
  <c r="L426" i="3"/>
  <c r="P427" i="3"/>
  <c r="Q427" i="3" s="1"/>
  <c r="R427" i="3" s="1"/>
  <c r="S427" i="3" s="1"/>
  <c r="AC427" i="3"/>
  <c r="AD427" i="3"/>
  <c r="Z427" i="3"/>
  <c r="AA427" i="3"/>
  <c r="U426" i="3" l="1"/>
  <c r="Y425" i="3"/>
  <c r="T427" i="3"/>
  <c r="AG427" i="3" s="1"/>
  <c r="D427" i="3" l="1"/>
  <c r="G427" i="3" s="1"/>
  <c r="E427" i="3"/>
  <c r="H427" i="3" s="1"/>
  <c r="K427" i="3" s="1"/>
  <c r="AE427" i="3" s="1"/>
  <c r="AH427" i="3"/>
  <c r="F427" i="3" l="1"/>
  <c r="I427" i="3"/>
  <c r="J427" i="3"/>
  <c r="M427" i="3"/>
  <c r="N427" i="3" s="1"/>
  <c r="V427" i="3"/>
  <c r="A428" i="3"/>
  <c r="B428" i="3" s="1"/>
  <c r="W427" i="3" l="1"/>
  <c r="L427" i="3"/>
  <c r="P428" i="3"/>
  <c r="Q428" i="3" s="1"/>
  <c r="R428" i="3" s="1"/>
  <c r="S428" i="3" s="1"/>
  <c r="AC428" i="3"/>
  <c r="Z428" i="3"/>
  <c r="AA428" i="3"/>
  <c r="AD428" i="3"/>
  <c r="U427" i="3" l="1"/>
  <c r="Y426" i="3"/>
  <c r="T428" i="3"/>
  <c r="AG428" i="3" s="1"/>
  <c r="E428" i="3" l="1"/>
  <c r="H428" i="3" s="1"/>
  <c r="AH428" i="3"/>
  <c r="D428" i="3"/>
  <c r="K428" i="3" l="1"/>
  <c r="AE428" i="3" s="1"/>
  <c r="F428" i="3"/>
  <c r="G428" i="3"/>
  <c r="I428" i="3" l="1"/>
  <c r="J428" i="3"/>
  <c r="M428" i="3"/>
  <c r="N428" i="3" s="1"/>
  <c r="V428" i="3"/>
  <c r="A429" i="3"/>
  <c r="B429" i="3" s="1"/>
  <c r="W428" i="3" l="1"/>
  <c r="AD429" i="3"/>
  <c r="Z429" i="3"/>
  <c r="AC429" i="3"/>
  <c r="P429" i="3"/>
  <c r="Q429" i="3" s="1"/>
  <c r="R429" i="3" s="1"/>
  <c r="S429" i="3" s="1"/>
  <c r="AA429" i="3"/>
  <c r="L428" i="3"/>
  <c r="U428" i="3" l="1"/>
  <c r="Y427" i="3"/>
  <c r="T429" i="3"/>
  <c r="D429" i="3" l="1"/>
  <c r="G429" i="3" s="1"/>
  <c r="E429" i="3"/>
  <c r="H429" i="3" s="1"/>
  <c r="K429" i="3" s="1"/>
  <c r="AE429" i="3" s="1"/>
  <c r="AG429" i="3"/>
  <c r="AH429" i="3"/>
  <c r="F429" i="3" l="1"/>
  <c r="I429" i="3"/>
  <c r="J429" i="3"/>
  <c r="M429" i="3"/>
  <c r="N429" i="3" s="1"/>
  <c r="V429" i="3"/>
  <c r="A430" i="3"/>
  <c r="B430" i="3" s="1"/>
  <c r="L429" i="3" l="1"/>
  <c r="W429" i="3"/>
  <c r="AA430" i="3"/>
  <c r="Z430" i="3"/>
  <c r="P430" i="3"/>
  <c r="Q430" i="3" s="1"/>
  <c r="R430" i="3" s="1"/>
  <c r="S430" i="3" s="1"/>
  <c r="AC430" i="3"/>
  <c r="AD430" i="3"/>
  <c r="U429" i="3" l="1"/>
  <c r="Y428" i="3"/>
  <c r="T430" i="3"/>
  <c r="D430" i="3" l="1"/>
  <c r="G430" i="3" s="1"/>
  <c r="AH430" i="3"/>
  <c r="E430" i="3"/>
  <c r="H430" i="3" s="1"/>
  <c r="AG430" i="3"/>
  <c r="F430" i="3" l="1"/>
  <c r="I430" i="3"/>
  <c r="J430" i="3"/>
  <c r="M430" i="3"/>
  <c r="N430" i="3" s="1"/>
  <c r="K430" i="3"/>
  <c r="AE430" i="3" s="1"/>
  <c r="V430" i="3" l="1"/>
  <c r="W430" i="3" s="1"/>
  <c r="A431" i="3"/>
  <c r="B431" i="3" s="1"/>
  <c r="L430" i="3"/>
  <c r="U430" i="3" l="1"/>
  <c r="Y429" i="3"/>
  <c r="AC431" i="3"/>
  <c r="Z431" i="3"/>
  <c r="P431" i="3"/>
  <c r="Q431" i="3" s="1"/>
  <c r="R431" i="3" s="1"/>
  <c r="S431" i="3" s="1"/>
  <c r="AA431" i="3"/>
  <c r="AD431" i="3"/>
  <c r="T431" i="3" l="1"/>
  <c r="AH431" i="3" s="1"/>
  <c r="E431" i="3" l="1"/>
  <c r="H431" i="3" s="1"/>
  <c r="AG431" i="3"/>
  <c r="D431" i="3"/>
  <c r="K431" i="3" l="1"/>
  <c r="AE431" i="3" s="1"/>
  <c r="F431" i="3"/>
  <c r="G431" i="3"/>
  <c r="V431" i="3" l="1"/>
  <c r="A432" i="3"/>
  <c r="B432" i="3" s="1"/>
  <c r="I431" i="3"/>
  <c r="J431" i="3"/>
  <c r="M431" i="3"/>
  <c r="N431" i="3" s="1"/>
  <c r="W431" i="3" l="1"/>
  <c r="L431" i="3"/>
  <c r="AA432" i="3"/>
  <c r="P432" i="3"/>
  <c r="Q432" i="3" s="1"/>
  <c r="R432" i="3" s="1"/>
  <c r="S432" i="3" s="1"/>
  <c r="AC432" i="3"/>
  <c r="Z432" i="3"/>
  <c r="AD432" i="3"/>
  <c r="T432" i="3" l="1"/>
  <c r="AH432" i="3" s="1"/>
  <c r="U431" i="3"/>
  <c r="Y430" i="3"/>
  <c r="AG432" i="3" l="1"/>
  <c r="E432" i="3"/>
  <c r="H432" i="3" s="1"/>
  <c r="D432" i="3"/>
  <c r="K432" i="3" l="1"/>
  <c r="AE432" i="3" s="1"/>
  <c r="F432" i="3"/>
  <c r="G432" i="3"/>
  <c r="I432" i="3" l="1"/>
  <c r="J432" i="3"/>
  <c r="M432" i="3"/>
  <c r="N432" i="3" s="1"/>
  <c r="V432" i="3"/>
  <c r="A433" i="3"/>
  <c r="B433" i="3" s="1"/>
  <c r="W432" i="3" l="1"/>
  <c r="L432" i="3"/>
  <c r="P433" i="3"/>
  <c r="Q433" i="3" s="1"/>
  <c r="R433" i="3" s="1"/>
  <c r="S433" i="3" s="1"/>
  <c r="AC433" i="3"/>
  <c r="Z433" i="3"/>
  <c r="AA433" i="3"/>
  <c r="AD433" i="3"/>
  <c r="U432" i="3" l="1"/>
  <c r="Y431" i="3"/>
  <c r="T433" i="3"/>
  <c r="E433" i="3" l="1"/>
  <c r="H433" i="3" s="1"/>
  <c r="K433" i="3" s="1"/>
  <c r="AE433" i="3" s="1"/>
  <c r="D433" i="3"/>
  <c r="AG433" i="3"/>
  <c r="AH433" i="3"/>
  <c r="F433" i="3" l="1"/>
  <c r="G433" i="3"/>
  <c r="M433" i="3" s="1"/>
  <c r="N433" i="3" s="1"/>
  <c r="V433" i="3"/>
  <c r="A434" i="3"/>
  <c r="B434" i="3" s="1"/>
  <c r="I433" i="3" l="1"/>
  <c r="W433" i="3" s="1"/>
  <c r="J433" i="3"/>
  <c r="L433" i="3" s="1"/>
  <c r="P434" i="3"/>
  <c r="Q434" i="3" s="1"/>
  <c r="R434" i="3" s="1"/>
  <c r="S434" i="3" s="1"/>
  <c r="Z434" i="3"/>
  <c r="AA434" i="3"/>
  <c r="AC434" i="3"/>
  <c r="U433" i="3" l="1"/>
  <c r="Y432" i="3"/>
  <c r="T434" i="3"/>
  <c r="AH434" i="3" s="1"/>
  <c r="E434" i="3" l="1"/>
  <c r="H434" i="3" s="1"/>
  <c r="K434" i="3" s="1"/>
  <c r="AE434" i="3" s="1"/>
  <c r="AG434" i="3"/>
  <c r="D434" i="3"/>
  <c r="F434" i="3" l="1"/>
  <c r="G434" i="3"/>
  <c r="M434" i="3" s="1"/>
  <c r="N434" i="3" s="1"/>
  <c r="V434" i="3"/>
  <c r="A435" i="3"/>
  <c r="B435" i="3" s="1"/>
  <c r="I434" i="3" l="1"/>
  <c r="W434" i="3" s="1"/>
  <c r="J434" i="3"/>
  <c r="P435" i="3"/>
  <c r="Q435" i="3" s="1"/>
  <c r="R435" i="3" s="1"/>
  <c r="S435" i="3" s="1"/>
  <c r="AA435" i="3"/>
  <c r="AD435" i="3"/>
  <c r="AC435" i="3"/>
  <c r="Z435" i="3"/>
  <c r="L434" i="3" l="1"/>
  <c r="Y433" i="3" s="1"/>
  <c r="AD434" i="3"/>
  <c r="T435" i="3"/>
  <c r="U434" i="3" l="1"/>
  <c r="E435" i="3" s="1"/>
  <c r="H435" i="3" s="1"/>
  <c r="AG435" i="3"/>
  <c r="AH435" i="3"/>
  <c r="D435" i="3" l="1"/>
  <c r="G435" i="3" s="1"/>
  <c r="I435" i="3" s="1"/>
  <c r="K435" i="3"/>
  <c r="AE435" i="3" s="1"/>
  <c r="J435" i="3" l="1"/>
  <c r="L435" i="3" s="1"/>
  <c r="M435" i="3"/>
  <c r="N435" i="3" s="1"/>
  <c r="F435" i="3"/>
  <c r="V435" i="3"/>
  <c r="W435" i="3" s="1"/>
  <c r="A436" i="3"/>
  <c r="B436" i="3" s="1"/>
  <c r="AC436" i="3" l="1"/>
  <c r="Z436" i="3"/>
  <c r="P436" i="3"/>
  <c r="Q436" i="3" s="1"/>
  <c r="R436" i="3" s="1"/>
  <c r="S436" i="3" s="1"/>
  <c r="AA436" i="3"/>
  <c r="AD436" i="3"/>
  <c r="U435" i="3"/>
  <c r="Y434" i="3"/>
  <c r="T436" i="3" l="1"/>
  <c r="E436" i="3" l="1"/>
  <c r="H436" i="3" s="1"/>
  <c r="D436" i="3"/>
  <c r="AH436" i="3"/>
  <c r="AG436" i="3"/>
  <c r="F436" i="3" l="1"/>
  <c r="G436" i="3"/>
  <c r="K436" i="3"/>
  <c r="AE436" i="3" s="1"/>
  <c r="I436" i="3" l="1"/>
  <c r="J436" i="3"/>
  <c r="M436" i="3"/>
  <c r="N436" i="3" s="1"/>
  <c r="V436" i="3"/>
  <c r="A437" i="3"/>
  <c r="B437" i="3" s="1"/>
  <c r="W436" i="3" l="1"/>
  <c r="L436" i="3"/>
  <c r="AC437" i="3"/>
  <c r="AA437" i="3"/>
  <c r="P437" i="3"/>
  <c r="Q437" i="3" s="1"/>
  <c r="R437" i="3" s="1"/>
  <c r="S437" i="3" s="1"/>
  <c r="AD437" i="3"/>
  <c r="Z437" i="3"/>
  <c r="U436" i="3" l="1"/>
  <c r="Y435" i="3"/>
  <c r="T437" i="3"/>
  <c r="AH437" i="3" s="1"/>
  <c r="D437" i="3" l="1"/>
  <c r="G437" i="3" s="1"/>
  <c r="E437" i="3"/>
  <c r="H437" i="3" s="1"/>
  <c r="K437" i="3" s="1"/>
  <c r="AE437" i="3" s="1"/>
  <c r="AG437" i="3"/>
  <c r="F437" i="3" l="1"/>
  <c r="I437" i="3"/>
  <c r="J437" i="3"/>
  <c r="M437" i="3"/>
  <c r="N437" i="3" s="1"/>
  <c r="V437" i="3"/>
  <c r="A438" i="3"/>
  <c r="B438" i="3" s="1"/>
  <c r="W437" i="3" l="1"/>
  <c r="L437" i="3"/>
  <c r="Z438" i="3"/>
  <c r="P438" i="3"/>
  <c r="Q438" i="3" s="1"/>
  <c r="R438" i="3" s="1"/>
  <c r="S438" i="3" s="1"/>
  <c r="AC438" i="3"/>
  <c r="AD438" i="3"/>
  <c r="AA438" i="3"/>
  <c r="U437" i="3" l="1"/>
  <c r="Y436" i="3"/>
  <c r="T438" i="3"/>
  <c r="E438" i="3" l="1"/>
  <c r="H438" i="3" s="1"/>
  <c r="K438" i="3" s="1"/>
  <c r="AE438" i="3" s="1"/>
  <c r="D438" i="3"/>
  <c r="AH438" i="3"/>
  <c r="AG438" i="3"/>
  <c r="V438" i="3" l="1"/>
  <c r="A439" i="3"/>
  <c r="B439" i="3" s="1"/>
  <c r="F438" i="3"/>
  <c r="G438" i="3"/>
  <c r="I438" i="3" l="1"/>
  <c r="W438" i="3" s="1"/>
  <c r="J438" i="3"/>
  <c r="M438" i="3"/>
  <c r="N438" i="3" s="1"/>
  <c r="Z439" i="3"/>
  <c r="P439" i="3"/>
  <c r="Q439" i="3" s="1"/>
  <c r="R439" i="3" s="1"/>
  <c r="S439" i="3" s="1"/>
  <c r="AD439" i="3"/>
  <c r="AC439" i="3"/>
  <c r="AA439" i="3"/>
  <c r="T439" i="3" l="1"/>
  <c r="L438" i="3"/>
  <c r="AG439" i="3" l="1"/>
  <c r="AH439" i="3"/>
  <c r="U438" i="3"/>
  <c r="E439" i="3" s="1"/>
  <c r="H439" i="3" s="1"/>
  <c r="Y437" i="3"/>
  <c r="D439" i="3" l="1"/>
  <c r="G439" i="3" s="1"/>
  <c r="K439" i="3"/>
  <c r="AE439" i="3" s="1"/>
  <c r="F439" i="3" l="1"/>
  <c r="V439" i="3"/>
  <c r="A440" i="3"/>
  <c r="B440" i="3" s="1"/>
  <c r="I439" i="3"/>
  <c r="J439" i="3"/>
  <c r="M439" i="3"/>
  <c r="N439" i="3" s="1"/>
  <c r="W439" i="3" l="1"/>
  <c r="L439" i="3"/>
  <c r="Z440" i="3"/>
  <c r="AC440" i="3"/>
  <c r="P440" i="3"/>
  <c r="Q440" i="3" s="1"/>
  <c r="R440" i="3" s="1"/>
  <c r="S440" i="3" s="1"/>
  <c r="AA440" i="3"/>
  <c r="AD440" i="3"/>
  <c r="T440" i="3" l="1"/>
  <c r="AH440" i="3" s="1"/>
  <c r="U439" i="3"/>
  <c r="Y438" i="3"/>
  <c r="AG440" i="3" l="1"/>
  <c r="D440" i="3"/>
  <c r="E440" i="3"/>
  <c r="H440" i="3" s="1"/>
  <c r="K440" i="3" l="1"/>
  <c r="AE440" i="3" s="1"/>
  <c r="F440" i="3"/>
  <c r="G440" i="3"/>
  <c r="I440" i="3" l="1"/>
  <c r="J440" i="3"/>
  <c r="M440" i="3"/>
  <c r="N440" i="3" s="1"/>
  <c r="V440" i="3"/>
  <c r="A441" i="3"/>
  <c r="B441" i="3" s="1"/>
  <c r="W440" i="3" l="1"/>
  <c r="L440" i="3"/>
  <c r="P441" i="3"/>
  <c r="Q441" i="3" s="1"/>
  <c r="R441" i="3" s="1"/>
  <c r="S441" i="3" s="1"/>
  <c r="AD441" i="3"/>
  <c r="AC441" i="3"/>
  <c r="Z441" i="3"/>
  <c r="AA441" i="3"/>
  <c r="T441" i="3" l="1"/>
  <c r="AH441" i="3" s="1"/>
  <c r="U440" i="3"/>
  <c r="Y439" i="3"/>
  <c r="E441" i="3" l="1"/>
  <c r="H441" i="3" s="1"/>
  <c r="K441" i="3" s="1"/>
  <c r="AE441" i="3" s="1"/>
  <c r="AG441" i="3"/>
  <c r="D441" i="3"/>
  <c r="V441" i="3" l="1"/>
  <c r="A442" i="3"/>
  <c r="B442" i="3" s="1"/>
  <c r="F441" i="3"/>
  <c r="G441" i="3"/>
  <c r="I441" i="3" l="1"/>
  <c r="W441" i="3" s="1"/>
  <c r="J441" i="3"/>
  <c r="M441" i="3"/>
  <c r="N441" i="3" s="1"/>
  <c r="AC442" i="3"/>
  <c r="AD442" i="3"/>
  <c r="AA442" i="3"/>
  <c r="P442" i="3"/>
  <c r="Q442" i="3" s="1"/>
  <c r="R442" i="3" s="1"/>
  <c r="S442" i="3" s="1"/>
  <c r="Z442" i="3"/>
  <c r="T442" i="3" l="1"/>
  <c r="L441" i="3"/>
  <c r="U441" i="3" l="1"/>
  <c r="D442" i="3" s="1"/>
  <c r="AH442" i="3"/>
  <c r="AG442" i="3"/>
  <c r="Y440" i="3"/>
  <c r="G442" i="3" l="1"/>
  <c r="E442" i="3"/>
  <c r="H442" i="3" s="1"/>
  <c r="I442" i="3" l="1"/>
  <c r="J442" i="3"/>
  <c r="M442" i="3"/>
  <c r="N442" i="3" s="1"/>
  <c r="F442" i="3"/>
  <c r="K442" i="3"/>
  <c r="AE442" i="3" s="1"/>
  <c r="V442" i="3" l="1"/>
  <c r="W442" i="3" s="1"/>
  <c r="A443" i="3"/>
  <c r="B443" i="3" s="1"/>
  <c r="L442" i="3"/>
  <c r="U442" i="3" l="1"/>
  <c r="Y441" i="3"/>
  <c r="Z443" i="3"/>
  <c r="P443" i="3"/>
  <c r="Q443" i="3" s="1"/>
  <c r="R443" i="3" s="1"/>
  <c r="S443" i="3" s="1"/>
  <c r="AD443" i="3"/>
  <c r="AC443" i="3"/>
  <c r="AA443" i="3"/>
  <c r="T443" i="3" l="1"/>
  <c r="D443" i="3" s="1"/>
  <c r="E443" i="3" l="1"/>
  <c r="H443" i="3" s="1"/>
  <c r="K443" i="3" s="1"/>
  <c r="AE443" i="3" s="1"/>
  <c r="G443" i="3"/>
  <c r="AG443" i="3"/>
  <c r="AH443" i="3"/>
  <c r="F443" i="3" l="1"/>
  <c r="V443" i="3"/>
  <c r="A444" i="3"/>
  <c r="B444" i="3" s="1"/>
  <c r="I443" i="3"/>
  <c r="J443" i="3"/>
  <c r="M443" i="3"/>
  <c r="N443" i="3" s="1"/>
  <c r="W443" i="3" l="1"/>
  <c r="L443" i="3"/>
  <c r="Z444" i="3"/>
  <c r="P444" i="3"/>
  <c r="Q444" i="3" s="1"/>
  <c r="R444" i="3" s="1"/>
  <c r="S444" i="3" s="1"/>
  <c r="AA444" i="3"/>
  <c r="AC444" i="3"/>
  <c r="U443" i="3" l="1"/>
  <c r="Y442" i="3"/>
  <c r="T444" i="3"/>
  <c r="AG444" i="3" s="1"/>
  <c r="AH444" i="3" l="1"/>
  <c r="D444" i="3"/>
  <c r="E444" i="3"/>
  <c r="H444" i="3" s="1"/>
  <c r="F444" i="3" l="1"/>
  <c r="G444" i="3"/>
  <c r="K444" i="3"/>
  <c r="AE444" i="3" s="1"/>
  <c r="I444" i="3" l="1"/>
  <c r="J444" i="3"/>
  <c r="AD444" i="3" s="1"/>
  <c r="M444" i="3"/>
  <c r="N444" i="3" s="1"/>
  <c r="V444" i="3"/>
  <c r="A445" i="3"/>
  <c r="B445" i="3" s="1"/>
  <c r="W444" i="3" l="1"/>
  <c r="L444" i="3"/>
  <c r="AA445" i="3"/>
  <c r="P445" i="3"/>
  <c r="Q445" i="3" s="1"/>
  <c r="R445" i="3" s="1"/>
  <c r="S445" i="3" s="1"/>
  <c r="Z445" i="3"/>
  <c r="AD445" i="3"/>
  <c r="AC445" i="3"/>
  <c r="T445" i="3" l="1"/>
  <c r="U444" i="3"/>
  <c r="Y443" i="3"/>
  <c r="D445" i="3" l="1"/>
  <c r="G445" i="3" s="1"/>
  <c r="AG445" i="3"/>
  <c r="E445" i="3"/>
  <c r="H445" i="3" s="1"/>
  <c r="AH445" i="3"/>
  <c r="K445" i="3" l="1"/>
  <c r="AE445" i="3" s="1"/>
  <c r="I445" i="3"/>
  <c r="J445" i="3"/>
  <c r="M445" i="3"/>
  <c r="N445" i="3" s="1"/>
  <c r="F445" i="3"/>
  <c r="L445" i="3" l="1"/>
  <c r="V445" i="3"/>
  <c r="W445" i="3" s="1"/>
  <c r="A446" i="3"/>
  <c r="B446" i="3" s="1"/>
  <c r="AD446" i="3" l="1"/>
  <c r="AC446" i="3"/>
  <c r="P446" i="3"/>
  <c r="Q446" i="3" s="1"/>
  <c r="R446" i="3" s="1"/>
  <c r="S446" i="3" s="1"/>
  <c r="Z446" i="3"/>
  <c r="AA446" i="3"/>
  <c r="U445" i="3"/>
  <c r="Y444" i="3"/>
  <c r="T446" i="3" l="1"/>
  <c r="D446" i="3" s="1"/>
  <c r="AG446" i="3" l="1"/>
  <c r="G446" i="3"/>
  <c r="E446" i="3"/>
  <c r="H446" i="3" s="1"/>
  <c r="AH446" i="3"/>
  <c r="K446" i="3" l="1"/>
  <c r="AE446" i="3" s="1"/>
  <c r="F446" i="3"/>
  <c r="I446" i="3"/>
  <c r="J446" i="3"/>
  <c r="M446" i="3"/>
  <c r="N446" i="3" s="1"/>
  <c r="L446" i="3" l="1"/>
  <c r="V446" i="3"/>
  <c r="W446" i="3" s="1"/>
  <c r="A447" i="3"/>
  <c r="B447" i="3" s="1"/>
  <c r="Z447" i="3" l="1"/>
  <c r="P447" i="3"/>
  <c r="Q447" i="3" s="1"/>
  <c r="R447" i="3" s="1"/>
  <c r="S447" i="3" s="1"/>
  <c r="AC447" i="3"/>
  <c r="AA447" i="3"/>
  <c r="AD447" i="3"/>
  <c r="U446" i="3"/>
  <c r="Y445" i="3"/>
  <c r="T447" i="3" l="1"/>
  <c r="AG447" i="3" s="1"/>
  <c r="D447" i="3" l="1"/>
  <c r="G447" i="3" s="1"/>
  <c r="AH447" i="3"/>
  <c r="E447" i="3"/>
  <c r="H447" i="3" s="1"/>
  <c r="K447" i="3" s="1"/>
  <c r="AE447" i="3" s="1"/>
  <c r="F447" i="3" l="1"/>
  <c r="I447" i="3"/>
  <c r="J447" i="3"/>
  <c r="M447" i="3"/>
  <c r="N447" i="3" s="1"/>
  <c r="V447" i="3"/>
  <c r="A448" i="3"/>
  <c r="B448" i="3" s="1"/>
  <c r="W447" i="3" l="1"/>
  <c r="L447" i="3"/>
  <c r="AD448" i="3"/>
  <c r="Z448" i="3"/>
  <c r="AA448" i="3"/>
  <c r="P448" i="3"/>
  <c r="Q448" i="3" s="1"/>
  <c r="R448" i="3" s="1"/>
  <c r="S448" i="3" s="1"/>
  <c r="AC448" i="3"/>
  <c r="T448" i="3" l="1"/>
  <c r="AG448" i="3" s="1"/>
  <c r="U447" i="3"/>
  <c r="Y446" i="3"/>
  <c r="D448" i="3" l="1"/>
  <c r="G448" i="3" s="1"/>
  <c r="E448" i="3"/>
  <c r="H448" i="3" s="1"/>
  <c r="AH448" i="3"/>
  <c r="F448" i="3" l="1"/>
  <c r="I448" i="3"/>
  <c r="J448" i="3"/>
  <c r="M448" i="3"/>
  <c r="N448" i="3" s="1"/>
  <c r="K448" i="3"/>
  <c r="AE448" i="3" s="1"/>
  <c r="V448" i="3" l="1"/>
  <c r="W448" i="3" s="1"/>
  <c r="A449" i="3"/>
  <c r="B449" i="3" s="1"/>
  <c r="L448" i="3"/>
  <c r="U448" i="3" l="1"/>
  <c r="Y447" i="3"/>
  <c r="P449" i="3"/>
  <c r="Q449" i="3" s="1"/>
  <c r="R449" i="3" s="1"/>
  <c r="S449" i="3" s="1"/>
  <c r="AD449" i="3"/>
  <c r="AA449" i="3"/>
  <c r="Z449" i="3"/>
  <c r="AC449" i="3"/>
  <c r="T449" i="3" l="1"/>
  <c r="D449" i="3" s="1"/>
  <c r="G449" i="3" l="1"/>
  <c r="AG449" i="3"/>
  <c r="AH449" i="3"/>
  <c r="E449" i="3"/>
  <c r="H449" i="3" s="1"/>
  <c r="K449" i="3" l="1"/>
  <c r="AE449" i="3" s="1"/>
  <c r="F449" i="3"/>
  <c r="I449" i="3"/>
  <c r="J449" i="3"/>
  <c r="M449" i="3"/>
  <c r="N449" i="3" s="1"/>
  <c r="L449" i="3" l="1"/>
  <c r="V449" i="3"/>
  <c r="W449" i="3" s="1"/>
  <c r="A450" i="3"/>
  <c r="B450" i="3" s="1"/>
  <c r="P450" i="3" l="1"/>
  <c r="Q450" i="3" s="1"/>
  <c r="R450" i="3" s="1"/>
  <c r="S450" i="3" s="1"/>
  <c r="AD450" i="3"/>
  <c r="Z450" i="3"/>
  <c r="AC450" i="3"/>
  <c r="AA450" i="3"/>
  <c r="U449" i="3"/>
  <c r="Y448" i="3"/>
  <c r="T450" i="3" l="1"/>
  <c r="D450" i="3" s="1"/>
  <c r="AH450" i="3" l="1"/>
  <c r="G450" i="3"/>
  <c r="E450" i="3"/>
  <c r="H450" i="3" s="1"/>
  <c r="AG450" i="3"/>
  <c r="F450" i="3" l="1"/>
  <c r="I450" i="3"/>
  <c r="J450" i="3"/>
  <c r="M450" i="3"/>
  <c r="N450" i="3" s="1"/>
  <c r="K450" i="3"/>
  <c r="AE450" i="3" s="1"/>
  <c r="V450" i="3" l="1"/>
  <c r="W450" i="3" s="1"/>
  <c r="A451" i="3"/>
  <c r="B451" i="3" s="1"/>
  <c r="L450" i="3"/>
  <c r="U450" i="3" l="1"/>
  <c r="Y449" i="3"/>
  <c r="P451" i="3"/>
  <c r="Q451" i="3" s="1"/>
  <c r="R451" i="3" s="1"/>
  <c r="S451" i="3" s="1"/>
  <c r="Z451" i="3"/>
  <c r="AD451" i="3"/>
  <c r="AA451" i="3"/>
  <c r="AC451" i="3"/>
  <c r="T451" i="3" l="1"/>
  <c r="AG451" i="3" s="1"/>
  <c r="E451" i="3" l="1"/>
  <c r="H451" i="3" s="1"/>
  <c r="K451" i="3" s="1"/>
  <c r="AE451" i="3" s="1"/>
  <c r="AH451" i="3"/>
  <c r="D451" i="3"/>
  <c r="V451" i="3" l="1"/>
  <c r="A452" i="3"/>
  <c r="B452" i="3" s="1"/>
  <c r="F451" i="3"/>
  <c r="G451" i="3"/>
  <c r="I451" i="3" l="1"/>
  <c r="W451" i="3" s="1"/>
  <c r="J451" i="3"/>
  <c r="M451" i="3"/>
  <c r="N451" i="3" s="1"/>
  <c r="AA452" i="3"/>
  <c r="P452" i="3"/>
  <c r="Q452" i="3" s="1"/>
  <c r="R452" i="3" s="1"/>
  <c r="S452" i="3" s="1"/>
  <c r="AC452" i="3"/>
  <c r="Z452" i="3"/>
  <c r="AD452" i="3"/>
  <c r="T452" i="3" l="1"/>
  <c r="L451" i="3"/>
  <c r="U451" i="3" l="1"/>
  <c r="D452" i="3" s="1"/>
  <c r="AH452" i="3"/>
  <c r="AG452" i="3"/>
  <c r="Y450" i="3"/>
  <c r="E452" i="3" l="1"/>
  <c r="H452" i="3" s="1"/>
  <c r="K452" i="3" s="1"/>
  <c r="AE452" i="3" s="1"/>
  <c r="G452" i="3"/>
  <c r="F452" i="3" l="1"/>
  <c r="I452" i="3"/>
  <c r="J452" i="3"/>
  <c r="M452" i="3"/>
  <c r="N452" i="3" s="1"/>
  <c r="V452" i="3"/>
  <c r="A453" i="3"/>
  <c r="B453" i="3" s="1"/>
  <c r="W452" i="3" l="1"/>
  <c r="L452" i="3"/>
  <c r="AA453" i="3"/>
  <c r="P453" i="3"/>
  <c r="Q453" i="3" s="1"/>
  <c r="R453" i="3" s="1"/>
  <c r="S453" i="3" s="1"/>
  <c r="AC453" i="3"/>
  <c r="AD453" i="3"/>
  <c r="Z453" i="3"/>
  <c r="U452" i="3" l="1"/>
  <c r="Y451" i="3"/>
  <c r="T453" i="3"/>
  <c r="AH453" i="3" s="1"/>
  <c r="AG453" i="3" l="1"/>
  <c r="E453" i="3"/>
  <c r="H453" i="3" s="1"/>
  <c r="D453" i="3"/>
  <c r="K453" i="3" l="1"/>
  <c r="AE453" i="3" s="1"/>
  <c r="F453" i="3"/>
  <c r="G453" i="3"/>
  <c r="I453" i="3" l="1"/>
  <c r="J453" i="3"/>
  <c r="M453" i="3"/>
  <c r="N453" i="3" s="1"/>
  <c r="V453" i="3"/>
  <c r="A454" i="3"/>
  <c r="B454" i="3" s="1"/>
  <c r="W453" i="3" l="1"/>
  <c r="AA454" i="3"/>
  <c r="AC454" i="3"/>
  <c r="Z454" i="3"/>
  <c r="P454" i="3"/>
  <c r="Q454" i="3" s="1"/>
  <c r="R454" i="3" s="1"/>
  <c r="S454" i="3" s="1"/>
  <c r="L453" i="3"/>
  <c r="U453" i="3" l="1"/>
  <c r="Y452" i="3"/>
  <c r="T454" i="3"/>
  <c r="E454" i="3" l="1"/>
  <c r="H454" i="3" s="1"/>
  <c r="K454" i="3" s="1"/>
  <c r="AE454" i="3" s="1"/>
  <c r="AH454" i="3"/>
  <c r="AG454" i="3"/>
  <c r="D454" i="3"/>
  <c r="F454" i="3" l="1"/>
  <c r="G454" i="3"/>
  <c r="V454" i="3"/>
  <c r="A455" i="3"/>
  <c r="B455" i="3" s="1"/>
  <c r="AC455" i="3" l="1"/>
  <c r="AD455" i="3"/>
  <c r="AA455" i="3"/>
  <c r="Z455" i="3"/>
  <c r="P455" i="3"/>
  <c r="Q455" i="3" s="1"/>
  <c r="R455" i="3" s="1"/>
  <c r="S455" i="3" s="1"/>
  <c r="I454" i="3"/>
  <c r="W454" i="3" s="1"/>
  <c r="J454" i="3"/>
  <c r="AD454" i="3" s="1"/>
  <c r="M454" i="3"/>
  <c r="N454" i="3" s="1"/>
  <c r="L454" i="3" l="1"/>
  <c r="T455" i="3"/>
  <c r="AH455" i="3" l="1"/>
  <c r="U454" i="3"/>
  <c r="D455" i="3" s="1"/>
  <c r="AG455" i="3"/>
  <c r="Y453" i="3"/>
  <c r="E455" i="3" l="1"/>
  <c r="H455" i="3" s="1"/>
  <c r="K455" i="3" s="1"/>
  <c r="AE455" i="3" s="1"/>
  <c r="G455" i="3"/>
  <c r="F455" i="3" l="1"/>
  <c r="I455" i="3"/>
  <c r="J455" i="3"/>
  <c r="M455" i="3"/>
  <c r="N455" i="3" s="1"/>
  <c r="V455" i="3"/>
  <c r="A456" i="3"/>
  <c r="B456" i="3" s="1"/>
  <c r="W455" i="3" l="1"/>
  <c r="L455" i="3"/>
  <c r="AC456" i="3"/>
  <c r="P456" i="3"/>
  <c r="Q456" i="3" s="1"/>
  <c r="R456" i="3" s="1"/>
  <c r="S456" i="3" s="1"/>
  <c r="AD456" i="3"/>
  <c r="Z456" i="3"/>
  <c r="AA456" i="3"/>
  <c r="U455" i="3" l="1"/>
  <c r="Y454" i="3"/>
  <c r="T456" i="3"/>
  <c r="AG456" i="3" s="1"/>
  <c r="D456" i="3" l="1"/>
  <c r="G456" i="3" s="1"/>
  <c r="AH456" i="3"/>
  <c r="E456" i="3"/>
  <c r="H456" i="3" s="1"/>
  <c r="I456" i="3" l="1"/>
  <c r="J456" i="3"/>
  <c r="M456" i="3"/>
  <c r="N456" i="3" s="1"/>
  <c r="K456" i="3"/>
  <c r="AE456" i="3" s="1"/>
  <c r="F456" i="3"/>
  <c r="V456" i="3" l="1"/>
  <c r="W456" i="3" s="1"/>
  <c r="A457" i="3"/>
  <c r="B457" i="3" s="1"/>
  <c r="L456" i="3"/>
  <c r="Z457" i="3" l="1"/>
  <c r="AC457" i="3"/>
  <c r="P457" i="3"/>
  <c r="Q457" i="3" s="1"/>
  <c r="R457" i="3" s="1"/>
  <c r="S457" i="3" s="1"/>
  <c r="AD457" i="3"/>
  <c r="AA457" i="3"/>
  <c r="U456" i="3"/>
  <c r="Y455" i="3"/>
  <c r="T457" i="3" l="1"/>
  <c r="D457" i="3" l="1"/>
  <c r="AH457" i="3"/>
  <c r="E457" i="3"/>
  <c r="H457" i="3" s="1"/>
  <c r="AG457" i="3"/>
  <c r="F457" i="3" l="1"/>
  <c r="G457" i="3"/>
  <c r="K457" i="3"/>
  <c r="AE457" i="3" s="1"/>
  <c r="I457" i="3" l="1"/>
  <c r="J457" i="3"/>
  <c r="M457" i="3"/>
  <c r="N457" i="3" s="1"/>
  <c r="V457" i="3"/>
  <c r="A458" i="3"/>
  <c r="B458" i="3" s="1"/>
  <c r="L457" i="3" l="1"/>
  <c r="W457" i="3"/>
  <c r="P458" i="3"/>
  <c r="Q458" i="3" s="1"/>
  <c r="R458" i="3" s="1"/>
  <c r="S458" i="3" s="1"/>
  <c r="AC458" i="3"/>
  <c r="Z458" i="3"/>
  <c r="AD458" i="3"/>
  <c r="AA458" i="3"/>
  <c r="U457" i="3" l="1"/>
  <c r="Y456" i="3"/>
  <c r="T458" i="3"/>
  <c r="AH458" i="3" s="1"/>
  <c r="AG458" i="3" l="1"/>
  <c r="E458" i="3"/>
  <c r="H458" i="3" s="1"/>
  <c r="D458" i="3"/>
  <c r="K458" i="3" l="1"/>
  <c r="AE458" i="3" s="1"/>
  <c r="F458" i="3"/>
  <c r="G458" i="3"/>
  <c r="V458" i="3" l="1"/>
  <c r="A459" i="3"/>
  <c r="B459" i="3" s="1"/>
  <c r="I458" i="3"/>
  <c r="J458" i="3"/>
  <c r="M458" i="3"/>
  <c r="N458" i="3" s="1"/>
  <c r="W458" i="3" l="1"/>
  <c r="L458" i="3"/>
  <c r="Z459" i="3"/>
  <c r="P459" i="3"/>
  <c r="Q459" i="3" s="1"/>
  <c r="R459" i="3" s="1"/>
  <c r="S459" i="3" s="1"/>
  <c r="AA459" i="3"/>
  <c r="AD459" i="3"/>
  <c r="AC459" i="3"/>
  <c r="T459" i="3" l="1"/>
  <c r="AH459" i="3" s="1"/>
  <c r="U458" i="3"/>
  <c r="Y457" i="3"/>
  <c r="AG459" i="3" l="1"/>
  <c r="D459" i="3"/>
  <c r="E459" i="3"/>
  <c r="H459" i="3" s="1"/>
  <c r="K459" i="3" l="1"/>
  <c r="AE459" i="3" s="1"/>
  <c r="F459" i="3"/>
  <c r="G459" i="3"/>
  <c r="I459" i="3" l="1"/>
  <c r="J459" i="3"/>
  <c r="M459" i="3"/>
  <c r="N459" i="3" s="1"/>
  <c r="V459" i="3"/>
  <c r="A460" i="3"/>
  <c r="B460" i="3" s="1"/>
  <c r="W459" i="3" l="1"/>
  <c r="L459" i="3"/>
  <c r="P460" i="3"/>
  <c r="Q460" i="3" s="1"/>
  <c r="R460" i="3" s="1"/>
  <c r="S460" i="3" s="1"/>
  <c r="AD460" i="3"/>
  <c r="Z460" i="3"/>
  <c r="AA460" i="3"/>
  <c r="AC460" i="3"/>
  <c r="U459" i="3" l="1"/>
  <c r="Y458" i="3"/>
  <c r="T460" i="3"/>
  <c r="D460" i="3" l="1"/>
  <c r="G460" i="3" s="1"/>
  <c r="AH460" i="3"/>
  <c r="E460" i="3"/>
  <c r="H460" i="3" s="1"/>
  <c r="AG460" i="3"/>
  <c r="F460" i="3" l="1"/>
  <c r="I460" i="3"/>
  <c r="J460" i="3"/>
  <c r="M460" i="3"/>
  <c r="N460" i="3" s="1"/>
  <c r="K460" i="3"/>
  <c r="AE460" i="3" s="1"/>
  <c r="V460" i="3" l="1"/>
  <c r="W460" i="3" s="1"/>
  <c r="A461" i="3"/>
  <c r="B461" i="3" s="1"/>
  <c r="L460" i="3"/>
  <c r="U460" i="3" l="1"/>
  <c r="Y459" i="3"/>
  <c r="AC461" i="3"/>
  <c r="Z461" i="3"/>
  <c r="P461" i="3"/>
  <c r="Q461" i="3" s="1"/>
  <c r="R461" i="3" s="1"/>
  <c r="S461" i="3" s="1"/>
  <c r="AA461" i="3"/>
  <c r="AD461" i="3"/>
  <c r="T461" i="3" l="1"/>
  <c r="D461" i="3" s="1"/>
  <c r="AG461" i="3" l="1"/>
  <c r="G461" i="3"/>
  <c r="AH461" i="3"/>
  <c r="E461" i="3"/>
  <c r="H461" i="3" s="1"/>
  <c r="F461" i="3" l="1"/>
  <c r="I461" i="3"/>
  <c r="J461" i="3"/>
  <c r="M461" i="3"/>
  <c r="N461" i="3" s="1"/>
  <c r="K461" i="3"/>
  <c r="AE461" i="3" s="1"/>
  <c r="V461" i="3" l="1"/>
  <c r="W461" i="3" s="1"/>
  <c r="A462" i="3"/>
  <c r="B462" i="3" s="1"/>
  <c r="L461" i="3"/>
  <c r="U461" i="3" l="1"/>
  <c r="Y460" i="3"/>
  <c r="Z462" i="3"/>
  <c r="P462" i="3"/>
  <c r="Q462" i="3" s="1"/>
  <c r="R462" i="3" s="1"/>
  <c r="S462" i="3" s="1"/>
  <c r="AD462" i="3"/>
  <c r="AA462" i="3"/>
  <c r="AC462" i="3"/>
  <c r="T462" i="3" l="1"/>
  <c r="E462" i="3" s="1"/>
  <c r="H462" i="3" s="1"/>
  <c r="AG462" i="3" l="1"/>
  <c r="AH462" i="3"/>
  <c r="D462" i="3"/>
  <c r="G462" i="3" s="1"/>
  <c r="K462" i="3"/>
  <c r="AE462" i="3" s="1"/>
  <c r="F462" i="3" l="1"/>
  <c r="V462" i="3"/>
  <c r="A463" i="3"/>
  <c r="B463" i="3" s="1"/>
  <c r="I462" i="3"/>
  <c r="J462" i="3"/>
  <c r="M462" i="3"/>
  <c r="N462" i="3" s="1"/>
  <c r="W462" i="3" l="1"/>
  <c r="L462" i="3"/>
  <c r="P463" i="3"/>
  <c r="Q463" i="3" s="1"/>
  <c r="R463" i="3" s="1"/>
  <c r="S463" i="3" s="1"/>
  <c r="AC463" i="3"/>
  <c r="Z463" i="3"/>
  <c r="AA463" i="3"/>
  <c r="AD463" i="3"/>
  <c r="U462" i="3" l="1"/>
  <c r="Y461" i="3"/>
  <c r="T463" i="3"/>
  <c r="AH463" i="3" s="1"/>
  <c r="AG463" i="3" l="1"/>
  <c r="D463" i="3"/>
  <c r="E463" i="3"/>
  <c r="H463" i="3" s="1"/>
  <c r="F463" i="3" l="1"/>
  <c r="G463" i="3"/>
  <c r="K463" i="3"/>
  <c r="AE463" i="3" s="1"/>
  <c r="V463" i="3" l="1"/>
  <c r="A464" i="3"/>
  <c r="B464" i="3" s="1"/>
  <c r="I463" i="3"/>
  <c r="J463" i="3"/>
  <c r="M463" i="3"/>
  <c r="N463" i="3" s="1"/>
  <c r="W463" i="3" l="1"/>
  <c r="L463" i="3"/>
  <c r="Z464" i="3"/>
  <c r="AC464" i="3"/>
  <c r="P464" i="3"/>
  <c r="Q464" i="3" s="1"/>
  <c r="R464" i="3" s="1"/>
  <c r="S464" i="3" s="1"/>
  <c r="AA464" i="3"/>
  <c r="T464" i="3" l="1"/>
  <c r="AG464" i="3" s="1"/>
  <c r="U463" i="3"/>
  <c r="Y462" i="3"/>
  <c r="AH464" i="3" l="1"/>
  <c r="D464" i="3"/>
  <c r="E464" i="3"/>
  <c r="H464" i="3" s="1"/>
  <c r="K464" i="3" l="1"/>
  <c r="AE464" i="3" s="1"/>
  <c r="F464" i="3"/>
  <c r="G464" i="3"/>
  <c r="I464" i="3" l="1"/>
  <c r="J464" i="3"/>
  <c r="AD464" i="3" s="1"/>
  <c r="M464" i="3"/>
  <c r="N464" i="3" s="1"/>
  <c r="V464" i="3"/>
  <c r="A465" i="3"/>
  <c r="B465" i="3" s="1"/>
  <c r="W464" i="3" l="1"/>
  <c r="L464" i="3"/>
  <c r="Z465" i="3"/>
  <c r="P465" i="3"/>
  <c r="Q465" i="3" s="1"/>
  <c r="R465" i="3" s="1"/>
  <c r="S465" i="3" s="1"/>
  <c r="AC465" i="3"/>
  <c r="AA465" i="3"/>
  <c r="AD465" i="3"/>
  <c r="T465" i="3" l="1"/>
  <c r="AH465" i="3" s="1"/>
  <c r="U464" i="3"/>
  <c r="Y463" i="3"/>
  <c r="D465" i="3" l="1"/>
  <c r="G465" i="3" s="1"/>
  <c r="E465" i="3"/>
  <c r="H465" i="3" s="1"/>
  <c r="AG465" i="3"/>
  <c r="F465" i="3" l="1"/>
  <c r="I465" i="3"/>
  <c r="J465" i="3"/>
  <c r="M465" i="3"/>
  <c r="N465" i="3" s="1"/>
  <c r="K465" i="3"/>
  <c r="AE465" i="3" s="1"/>
  <c r="V465" i="3" l="1"/>
  <c r="W465" i="3" s="1"/>
  <c r="A466" i="3"/>
  <c r="B466" i="3" s="1"/>
  <c r="L465" i="3"/>
  <c r="U465" i="3" l="1"/>
  <c r="Y464" i="3"/>
  <c r="AA466" i="3"/>
  <c r="AD466" i="3"/>
  <c r="AC466" i="3"/>
  <c r="Z466" i="3"/>
  <c r="P466" i="3"/>
  <c r="Q466" i="3" s="1"/>
  <c r="R466" i="3" s="1"/>
  <c r="S466" i="3" s="1"/>
  <c r="T466" i="3" l="1"/>
  <c r="AH466" i="3" s="1"/>
  <c r="AG466" i="3" l="1"/>
  <c r="E466" i="3"/>
  <c r="H466" i="3" s="1"/>
  <c r="K466" i="3" s="1"/>
  <c r="AE466" i="3" s="1"/>
  <c r="D466" i="3"/>
  <c r="G466" i="3" s="1"/>
  <c r="F466" i="3" l="1"/>
  <c r="I466" i="3"/>
  <c r="J466" i="3"/>
  <c r="M466" i="3"/>
  <c r="N466" i="3" s="1"/>
  <c r="V466" i="3"/>
  <c r="A467" i="3"/>
  <c r="B467" i="3" s="1"/>
  <c r="W466" i="3" l="1"/>
  <c r="L466" i="3"/>
  <c r="P467" i="3"/>
  <c r="Q467" i="3" s="1"/>
  <c r="R467" i="3" s="1"/>
  <c r="S467" i="3" s="1"/>
  <c r="AA467" i="3"/>
  <c r="Z467" i="3"/>
  <c r="AC467" i="3"/>
  <c r="AD467" i="3"/>
  <c r="U466" i="3" l="1"/>
  <c r="Y465" i="3"/>
  <c r="T467" i="3"/>
  <c r="E467" i="3" l="1"/>
  <c r="H467" i="3" s="1"/>
  <c r="K467" i="3" s="1"/>
  <c r="AE467" i="3" s="1"/>
  <c r="AG467" i="3"/>
  <c r="D467" i="3"/>
  <c r="AH467" i="3"/>
  <c r="F467" i="3" l="1"/>
  <c r="G467" i="3"/>
  <c r="V467" i="3"/>
  <c r="A468" i="3"/>
  <c r="B468" i="3" s="1"/>
  <c r="AC468" i="3" l="1"/>
  <c r="Z468" i="3"/>
  <c r="P468" i="3"/>
  <c r="Q468" i="3" s="1"/>
  <c r="R468" i="3" s="1"/>
  <c r="S468" i="3" s="1"/>
  <c r="AA468" i="3"/>
  <c r="AD468" i="3"/>
  <c r="I467" i="3"/>
  <c r="W467" i="3" s="1"/>
  <c r="J467" i="3"/>
  <c r="M467" i="3"/>
  <c r="N467" i="3" s="1"/>
  <c r="L467" i="3" l="1"/>
  <c r="T468" i="3"/>
  <c r="U467" i="3" l="1"/>
  <c r="D468" i="3" s="1"/>
  <c r="AH468" i="3"/>
  <c r="AG468" i="3"/>
  <c r="Y466" i="3"/>
  <c r="E468" i="3" l="1"/>
  <c r="H468" i="3" s="1"/>
  <c r="K468" i="3" s="1"/>
  <c r="AE468" i="3" s="1"/>
  <c r="G468" i="3"/>
  <c r="F468" i="3" l="1"/>
  <c r="I468" i="3"/>
  <c r="J468" i="3"/>
  <c r="M468" i="3"/>
  <c r="N468" i="3" s="1"/>
  <c r="V468" i="3"/>
  <c r="A469" i="3"/>
  <c r="B469" i="3" s="1"/>
  <c r="W468" i="3" l="1"/>
  <c r="L468" i="3"/>
  <c r="AD469" i="3"/>
  <c r="AA469" i="3"/>
  <c r="P469" i="3"/>
  <c r="Q469" i="3" s="1"/>
  <c r="R469" i="3" s="1"/>
  <c r="S469" i="3" s="1"/>
  <c r="Z469" i="3"/>
  <c r="AC469" i="3"/>
  <c r="U468" i="3" l="1"/>
  <c r="Y467" i="3"/>
  <c r="T469" i="3"/>
  <c r="AG469" i="3" s="1"/>
  <c r="D469" i="3" l="1"/>
  <c r="G469" i="3" s="1"/>
  <c r="AH469" i="3"/>
  <c r="E469" i="3"/>
  <c r="H469" i="3" s="1"/>
  <c r="K469" i="3" s="1"/>
  <c r="AE469" i="3" s="1"/>
  <c r="F469" i="3" l="1"/>
  <c r="I469" i="3"/>
  <c r="J469" i="3"/>
  <c r="M469" i="3"/>
  <c r="N469" i="3" s="1"/>
  <c r="V469" i="3"/>
  <c r="A470" i="3"/>
  <c r="B470" i="3" s="1"/>
  <c r="W469" i="3" l="1"/>
  <c r="L469" i="3"/>
  <c r="AC470" i="3"/>
  <c r="P470" i="3"/>
  <c r="Q470" i="3" s="1"/>
  <c r="R470" i="3" s="1"/>
  <c r="S470" i="3" s="1"/>
  <c r="AA470" i="3"/>
  <c r="Z470" i="3"/>
  <c r="AD470" i="3"/>
  <c r="U469" i="3" l="1"/>
  <c r="Y468" i="3"/>
  <c r="T470" i="3"/>
  <c r="D470" i="3" l="1"/>
  <c r="G470" i="3" s="1"/>
  <c r="AH470" i="3"/>
  <c r="AG470" i="3"/>
  <c r="E470" i="3"/>
  <c r="H470" i="3" s="1"/>
  <c r="K470" i="3" l="1"/>
  <c r="AE470" i="3" s="1"/>
  <c r="F470" i="3"/>
  <c r="I470" i="3"/>
  <c r="J470" i="3"/>
  <c r="M470" i="3"/>
  <c r="N470" i="3" s="1"/>
  <c r="V470" i="3" l="1"/>
  <c r="W470" i="3" s="1"/>
  <c r="A471" i="3"/>
  <c r="B471" i="3" s="1"/>
  <c r="L470" i="3"/>
  <c r="U470" i="3" l="1"/>
  <c r="Y469" i="3"/>
  <c r="Z471" i="3"/>
  <c r="AA471" i="3"/>
  <c r="AD471" i="3"/>
  <c r="AC471" i="3"/>
  <c r="P471" i="3"/>
  <c r="Q471" i="3" s="1"/>
  <c r="R471" i="3" s="1"/>
  <c r="S471" i="3" s="1"/>
  <c r="T471" i="3" l="1"/>
  <c r="AH471" i="3" s="1"/>
  <c r="AG471" i="3" l="1"/>
  <c r="E471" i="3"/>
  <c r="H471" i="3" s="1"/>
  <c r="D471" i="3"/>
  <c r="F471" i="3" l="1"/>
  <c r="G471" i="3"/>
  <c r="K471" i="3"/>
  <c r="AE471" i="3" s="1"/>
  <c r="V471" i="3" l="1"/>
  <c r="A472" i="3"/>
  <c r="B472" i="3" s="1"/>
  <c r="I471" i="3"/>
  <c r="J471" i="3"/>
  <c r="M471" i="3"/>
  <c r="N471" i="3" s="1"/>
  <c r="W471" i="3" l="1"/>
  <c r="L471" i="3"/>
  <c r="Z472" i="3"/>
  <c r="AA472" i="3"/>
  <c r="P472" i="3"/>
  <c r="Q472" i="3" s="1"/>
  <c r="R472" i="3" s="1"/>
  <c r="S472" i="3" s="1"/>
  <c r="AD472" i="3"/>
  <c r="AC472" i="3"/>
  <c r="U471" i="3" l="1"/>
  <c r="Y470" i="3"/>
  <c r="T472" i="3"/>
  <c r="E472" i="3" l="1"/>
  <c r="H472" i="3" s="1"/>
  <c r="K472" i="3" s="1"/>
  <c r="AE472" i="3" s="1"/>
  <c r="AG472" i="3"/>
  <c r="AH472" i="3"/>
  <c r="D472" i="3"/>
  <c r="V472" i="3" l="1"/>
  <c r="A473" i="3"/>
  <c r="B473" i="3" s="1"/>
  <c r="F472" i="3"/>
  <c r="G472" i="3"/>
  <c r="I472" i="3" l="1"/>
  <c r="W472" i="3" s="1"/>
  <c r="J472" i="3"/>
  <c r="M472" i="3"/>
  <c r="N472" i="3" s="1"/>
  <c r="AC473" i="3"/>
  <c r="P473" i="3"/>
  <c r="Q473" i="3" s="1"/>
  <c r="R473" i="3" s="1"/>
  <c r="S473" i="3" s="1"/>
  <c r="AD473" i="3"/>
  <c r="Z473" i="3"/>
  <c r="AA473" i="3"/>
  <c r="L472" i="3" l="1"/>
  <c r="T473" i="3"/>
  <c r="U472" i="3" l="1"/>
  <c r="D473" i="3" s="1"/>
  <c r="AH473" i="3"/>
  <c r="AG473" i="3"/>
  <c r="Y471" i="3"/>
  <c r="G473" i="3" l="1"/>
  <c r="E473" i="3"/>
  <c r="H473" i="3" s="1"/>
  <c r="F473" i="3" l="1"/>
  <c r="I473" i="3"/>
  <c r="J473" i="3"/>
  <c r="M473" i="3"/>
  <c r="N473" i="3" s="1"/>
  <c r="K473" i="3"/>
  <c r="AE473" i="3" s="1"/>
  <c r="V473" i="3" l="1"/>
  <c r="W473" i="3" s="1"/>
  <c r="A474" i="3"/>
  <c r="B474" i="3" s="1"/>
  <c r="L473" i="3"/>
  <c r="U473" i="3" l="1"/>
  <c r="Y472" i="3"/>
  <c r="P474" i="3"/>
  <c r="Q474" i="3" s="1"/>
  <c r="R474" i="3" s="1"/>
  <c r="S474" i="3" s="1"/>
  <c r="Z474" i="3"/>
  <c r="AA474" i="3"/>
  <c r="AC474" i="3"/>
  <c r="T474" i="3" l="1"/>
  <c r="D474" i="3" s="1"/>
  <c r="AG474" i="3" l="1"/>
  <c r="AH474" i="3"/>
  <c r="G474" i="3"/>
  <c r="E474" i="3"/>
  <c r="H474" i="3" s="1"/>
  <c r="I474" i="3" l="1"/>
  <c r="J474" i="3"/>
  <c r="AD474" i="3" s="1"/>
  <c r="M474" i="3"/>
  <c r="N474" i="3" s="1"/>
  <c r="F474" i="3"/>
  <c r="K474" i="3"/>
  <c r="AE474" i="3" s="1"/>
  <c r="V474" i="3" l="1"/>
  <c r="W474" i="3" s="1"/>
  <c r="A475" i="3"/>
  <c r="B475" i="3" s="1"/>
  <c r="L474" i="3"/>
  <c r="U474" i="3" l="1"/>
  <c r="Y473" i="3"/>
  <c r="AC475" i="3"/>
  <c r="Z475" i="3"/>
  <c r="P475" i="3"/>
  <c r="Q475" i="3" s="1"/>
  <c r="R475" i="3" s="1"/>
  <c r="S475" i="3" s="1"/>
  <c r="AD475" i="3"/>
  <c r="AA475" i="3"/>
  <c r="T475" i="3" l="1"/>
  <c r="AG475" i="3" s="1"/>
  <c r="AH475" i="3" l="1"/>
  <c r="E475" i="3"/>
  <c r="H475" i="3" s="1"/>
  <c r="K475" i="3" s="1"/>
  <c r="AE475" i="3" s="1"/>
  <c r="D475" i="3"/>
  <c r="F475" i="3" l="1"/>
  <c r="G475" i="3"/>
  <c r="M475" i="3" s="1"/>
  <c r="N475" i="3" s="1"/>
  <c r="V475" i="3"/>
  <c r="A476" i="3"/>
  <c r="B476" i="3" s="1"/>
  <c r="I475" i="3" l="1"/>
  <c r="W475" i="3" s="1"/>
  <c r="J475" i="3"/>
  <c r="L475" i="3" s="1"/>
  <c r="P476" i="3"/>
  <c r="Q476" i="3" s="1"/>
  <c r="R476" i="3" s="1"/>
  <c r="S476" i="3" s="1"/>
  <c r="AA476" i="3"/>
  <c r="AD476" i="3"/>
  <c r="Z476" i="3"/>
  <c r="AC476" i="3"/>
  <c r="U475" i="3" l="1"/>
  <c r="Y474" i="3"/>
  <c r="T476" i="3"/>
  <c r="AG476" i="3" s="1"/>
  <c r="D476" i="3" l="1"/>
  <c r="G476" i="3" s="1"/>
  <c r="E476" i="3"/>
  <c r="H476" i="3" s="1"/>
  <c r="K476" i="3" s="1"/>
  <c r="AE476" i="3" s="1"/>
  <c r="AH476" i="3"/>
  <c r="F476" i="3" l="1"/>
  <c r="V476" i="3"/>
  <c r="A477" i="3"/>
  <c r="B477" i="3" s="1"/>
  <c r="I476" i="3"/>
  <c r="J476" i="3"/>
  <c r="M476" i="3"/>
  <c r="N476" i="3" s="1"/>
  <c r="W476" i="3" l="1"/>
  <c r="L476" i="3"/>
  <c r="AA477" i="3"/>
  <c r="P477" i="3"/>
  <c r="Q477" i="3" s="1"/>
  <c r="R477" i="3" s="1"/>
  <c r="S477" i="3" s="1"/>
  <c r="AD477" i="3"/>
  <c r="AC477" i="3"/>
  <c r="Z477" i="3"/>
  <c r="U476" i="3" l="1"/>
  <c r="Y475" i="3"/>
  <c r="T477" i="3"/>
  <c r="D477" i="3" l="1"/>
  <c r="G477" i="3" s="1"/>
  <c r="AG477" i="3"/>
  <c r="E477" i="3"/>
  <c r="H477" i="3" s="1"/>
  <c r="K477" i="3" s="1"/>
  <c r="AE477" i="3" s="1"/>
  <c r="AH477" i="3"/>
  <c r="F477" i="3" l="1"/>
  <c r="V477" i="3"/>
  <c r="A478" i="3"/>
  <c r="B478" i="3" s="1"/>
  <c r="I477" i="3"/>
  <c r="J477" i="3"/>
  <c r="M477" i="3"/>
  <c r="N477" i="3" s="1"/>
  <c r="W477" i="3" l="1"/>
  <c r="L477" i="3"/>
  <c r="AA478" i="3"/>
  <c r="AD478" i="3"/>
  <c r="P478" i="3"/>
  <c r="Q478" i="3" s="1"/>
  <c r="R478" i="3" s="1"/>
  <c r="S478" i="3" s="1"/>
  <c r="AC478" i="3"/>
  <c r="Z478" i="3"/>
  <c r="T478" i="3" l="1"/>
  <c r="U477" i="3"/>
  <c r="Y476" i="3"/>
  <c r="E478" i="3" l="1"/>
  <c r="H478" i="3" s="1"/>
  <c r="K478" i="3" s="1"/>
  <c r="AE478" i="3" s="1"/>
  <c r="AG478" i="3"/>
  <c r="AH478" i="3"/>
  <c r="D478" i="3"/>
  <c r="F478" i="3" l="1"/>
  <c r="G478" i="3"/>
  <c r="V478" i="3"/>
  <c r="A479" i="3"/>
  <c r="B479" i="3" s="1"/>
  <c r="I478" i="3" l="1"/>
  <c r="W478" i="3" s="1"/>
  <c r="J478" i="3"/>
  <c r="M478" i="3"/>
  <c r="N478" i="3" s="1"/>
  <c r="P479" i="3"/>
  <c r="Q479" i="3" s="1"/>
  <c r="R479" i="3" s="1"/>
  <c r="S479" i="3" s="1"/>
  <c r="AD479" i="3"/>
  <c r="AC479" i="3"/>
  <c r="AA479" i="3"/>
  <c r="Z479" i="3"/>
  <c r="T479" i="3" l="1"/>
  <c r="L478" i="3"/>
  <c r="U478" i="3" l="1"/>
  <c r="E479" i="3" s="1"/>
  <c r="H479" i="3" s="1"/>
  <c r="AH479" i="3"/>
  <c r="AG479" i="3"/>
  <c r="Y477" i="3"/>
  <c r="D479" i="3" l="1"/>
  <c r="G479" i="3" s="1"/>
  <c r="K479" i="3"/>
  <c r="AE479" i="3" s="1"/>
  <c r="F479" i="3" l="1"/>
  <c r="I479" i="3"/>
  <c r="J479" i="3"/>
  <c r="M479" i="3"/>
  <c r="N479" i="3" s="1"/>
  <c r="V479" i="3"/>
  <c r="A480" i="3"/>
  <c r="B480" i="3" s="1"/>
  <c r="W479" i="3" l="1"/>
  <c r="AA480" i="3"/>
  <c r="P480" i="3"/>
  <c r="Q480" i="3" s="1"/>
  <c r="R480" i="3" s="1"/>
  <c r="S480" i="3" s="1"/>
  <c r="AD480" i="3"/>
  <c r="AC480" i="3"/>
  <c r="Z480" i="3"/>
  <c r="L479" i="3"/>
  <c r="U479" i="3" l="1"/>
  <c r="Y478" i="3"/>
  <c r="T480" i="3"/>
  <c r="E480" i="3" l="1"/>
  <c r="H480" i="3" s="1"/>
  <c r="K480" i="3" s="1"/>
  <c r="AE480" i="3" s="1"/>
  <c r="AH480" i="3"/>
  <c r="AG480" i="3"/>
  <c r="D480" i="3"/>
  <c r="V480" i="3" l="1"/>
  <c r="A481" i="3"/>
  <c r="B481" i="3" s="1"/>
  <c r="F480" i="3"/>
  <c r="G480" i="3"/>
  <c r="I480" i="3" l="1"/>
  <c r="W480" i="3" s="1"/>
  <c r="J480" i="3"/>
  <c r="M480" i="3"/>
  <c r="N480" i="3" s="1"/>
  <c r="P481" i="3"/>
  <c r="Q481" i="3" s="1"/>
  <c r="R481" i="3" s="1"/>
  <c r="S481" i="3" s="1"/>
  <c r="AC481" i="3"/>
  <c r="AA481" i="3"/>
  <c r="AD481" i="3"/>
  <c r="Z481" i="3"/>
  <c r="T481" i="3" l="1"/>
  <c r="L480" i="3"/>
  <c r="U480" i="3" l="1"/>
  <c r="D481" i="3" s="1"/>
  <c r="AG481" i="3"/>
  <c r="AH481" i="3"/>
  <c r="Y479" i="3"/>
  <c r="G481" i="3" l="1"/>
  <c r="E481" i="3"/>
  <c r="H481" i="3" s="1"/>
  <c r="K481" i="3" l="1"/>
  <c r="AE481" i="3" s="1"/>
  <c r="I481" i="3"/>
  <c r="J481" i="3"/>
  <c r="M481" i="3"/>
  <c r="N481" i="3" s="1"/>
  <c r="F481" i="3"/>
  <c r="V481" i="3" l="1"/>
  <c r="W481" i="3" s="1"/>
  <c r="A482" i="3"/>
  <c r="B482" i="3" s="1"/>
  <c r="L481" i="3"/>
  <c r="U481" i="3" l="1"/>
  <c r="Y480" i="3"/>
  <c r="AC482" i="3"/>
  <c r="AA482" i="3"/>
  <c r="P482" i="3"/>
  <c r="Q482" i="3" s="1"/>
  <c r="R482" i="3" s="1"/>
  <c r="S482" i="3" s="1"/>
  <c r="AD482" i="3"/>
  <c r="Z482" i="3"/>
  <c r="T482" i="3" l="1"/>
  <c r="D482" i="3" s="1"/>
  <c r="AG482" i="3" l="1"/>
  <c r="G482" i="3"/>
  <c r="AH482" i="3"/>
  <c r="E482" i="3"/>
  <c r="H482" i="3" s="1"/>
  <c r="F482" i="3" l="1"/>
  <c r="I482" i="3"/>
  <c r="J482" i="3"/>
  <c r="M482" i="3"/>
  <c r="N482" i="3" s="1"/>
  <c r="K482" i="3"/>
  <c r="AE482" i="3" s="1"/>
  <c r="V482" i="3" l="1"/>
  <c r="W482" i="3" s="1"/>
  <c r="A483" i="3"/>
  <c r="B483" i="3" s="1"/>
  <c r="L482" i="3"/>
  <c r="U482" i="3" l="1"/>
  <c r="Y481" i="3"/>
  <c r="P483" i="3"/>
  <c r="Q483" i="3" s="1"/>
  <c r="R483" i="3" s="1"/>
  <c r="S483" i="3" s="1"/>
  <c r="Z483" i="3"/>
  <c r="AC483" i="3"/>
  <c r="AD483" i="3"/>
  <c r="AA483" i="3"/>
  <c r="T483" i="3" l="1"/>
  <c r="E483" i="3" s="1"/>
  <c r="H483" i="3" s="1"/>
  <c r="AG483" i="3" l="1"/>
  <c r="AH483" i="3"/>
  <c r="D483" i="3"/>
  <c r="G483" i="3" s="1"/>
  <c r="K483" i="3"/>
  <c r="AE483" i="3" s="1"/>
  <c r="F483" i="3" l="1"/>
  <c r="I483" i="3"/>
  <c r="J483" i="3"/>
  <c r="M483" i="3"/>
  <c r="N483" i="3" s="1"/>
  <c r="V483" i="3"/>
  <c r="A484" i="3"/>
  <c r="B484" i="3" s="1"/>
  <c r="W483" i="3" l="1"/>
  <c r="L483" i="3"/>
  <c r="AC484" i="3"/>
  <c r="Z484" i="3"/>
  <c r="AA484" i="3"/>
  <c r="P484" i="3"/>
  <c r="Q484" i="3" s="1"/>
  <c r="R484" i="3" s="1"/>
  <c r="S484" i="3" s="1"/>
  <c r="T484" i="3" l="1"/>
  <c r="U483" i="3"/>
  <c r="Y482" i="3"/>
  <c r="E484" i="3" l="1"/>
  <c r="H484" i="3" s="1"/>
  <c r="K484" i="3" s="1"/>
  <c r="AE484" i="3" s="1"/>
  <c r="D484" i="3"/>
  <c r="G484" i="3" s="1"/>
  <c r="AG484" i="3"/>
  <c r="AH484" i="3"/>
  <c r="F484" i="3" l="1"/>
  <c r="V484" i="3"/>
  <c r="A485" i="3"/>
  <c r="B485" i="3" s="1"/>
  <c r="I484" i="3"/>
  <c r="J484" i="3"/>
  <c r="AD484" i="3" s="1"/>
  <c r="M484" i="3"/>
  <c r="N484" i="3" s="1"/>
  <c r="W484" i="3" l="1"/>
  <c r="L484" i="3"/>
  <c r="P485" i="3"/>
  <c r="Q485" i="3" s="1"/>
  <c r="R485" i="3" s="1"/>
  <c r="S485" i="3" s="1"/>
  <c r="AD485" i="3"/>
  <c r="AA485" i="3"/>
  <c r="AC485" i="3"/>
  <c r="Z485" i="3"/>
  <c r="U484" i="3" l="1"/>
  <c r="Y483" i="3"/>
  <c r="T485" i="3"/>
  <c r="D485" i="3" l="1"/>
  <c r="G485" i="3" s="1"/>
  <c r="AG485" i="3"/>
  <c r="AH485" i="3"/>
  <c r="E485" i="3"/>
  <c r="H485" i="3" s="1"/>
  <c r="K485" i="3" s="1"/>
  <c r="AE485" i="3" s="1"/>
  <c r="F485" i="3" l="1"/>
  <c r="I485" i="3"/>
  <c r="J485" i="3"/>
  <c r="M485" i="3"/>
  <c r="N485" i="3" s="1"/>
  <c r="V485" i="3"/>
  <c r="A486" i="3"/>
  <c r="B486" i="3" s="1"/>
  <c r="W485" i="3" l="1"/>
  <c r="L485" i="3"/>
  <c r="AA486" i="3"/>
  <c r="P486" i="3"/>
  <c r="Q486" i="3" s="1"/>
  <c r="R486" i="3" s="1"/>
  <c r="S486" i="3" s="1"/>
  <c r="AC486" i="3"/>
  <c r="AD486" i="3"/>
  <c r="Z486" i="3"/>
  <c r="T486" i="3" l="1"/>
  <c r="AH486" i="3" s="1"/>
  <c r="U485" i="3"/>
  <c r="Y484" i="3"/>
  <c r="D486" i="3" l="1"/>
  <c r="G486" i="3" s="1"/>
  <c r="AG486" i="3"/>
  <c r="E486" i="3"/>
  <c r="H486" i="3" s="1"/>
  <c r="K486" i="3" s="1"/>
  <c r="AE486" i="3" s="1"/>
  <c r="F486" i="3" l="1"/>
  <c r="V486" i="3"/>
  <c r="A487" i="3"/>
  <c r="B487" i="3" s="1"/>
  <c r="I486" i="3"/>
  <c r="J486" i="3"/>
  <c r="M486" i="3"/>
  <c r="N486" i="3" s="1"/>
  <c r="W486" i="3" l="1"/>
  <c r="L486" i="3"/>
  <c r="AA487" i="3"/>
  <c r="AD487" i="3"/>
  <c r="P487" i="3"/>
  <c r="Q487" i="3" s="1"/>
  <c r="R487" i="3" s="1"/>
  <c r="S487" i="3" s="1"/>
  <c r="AC487" i="3"/>
  <c r="Z487" i="3"/>
  <c r="T487" i="3" l="1"/>
  <c r="U486" i="3"/>
  <c r="Y485" i="3"/>
  <c r="E487" i="3" l="1"/>
  <c r="H487" i="3" s="1"/>
  <c r="K487" i="3" s="1"/>
  <c r="AE487" i="3" s="1"/>
  <c r="D487" i="3"/>
  <c r="AH487" i="3"/>
  <c r="AG487" i="3"/>
  <c r="V487" i="3" l="1"/>
  <c r="A488" i="3"/>
  <c r="B488" i="3" s="1"/>
  <c r="F487" i="3"/>
  <c r="G487" i="3"/>
  <c r="I487" i="3" l="1"/>
  <c r="W487" i="3" s="1"/>
  <c r="J487" i="3"/>
  <c r="M487" i="3"/>
  <c r="N487" i="3" s="1"/>
  <c r="AA488" i="3"/>
  <c r="AD488" i="3"/>
  <c r="Z488" i="3"/>
  <c r="P488" i="3"/>
  <c r="Q488" i="3" s="1"/>
  <c r="R488" i="3" s="1"/>
  <c r="S488" i="3" s="1"/>
  <c r="AC488" i="3"/>
  <c r="L487" i="3" l="1"/>
  <c r="T488" i="3"/>
  <c r="U487" i="3" l="1"/>
  <c r="D488" i="3" s="1"/>
  <c r="AG488" i="3"/>
  <c r="AH488" i="3"/>
  <c r="Y486" i="3"/>
  <c r="E488" i="3" l="1"/>
  <c r="H488" i="3" s="1"/>
  <c r="K488" i="3" s="1"/>
  <c r="AE488" i="3" s="1"/>
  <c r="G488" i="3"/>
  <c r="F488" i="3" l="1"/>
  <c r="I488" i="3"/>
  <c r="J488" i="3"/>
  <c r="M488" i="3"/>
  <c r="N488" i="3" s="1"/>
  <c r="V488" i="3"/>
  <c r="A489" i="3"/>
  <c r="B489" i="3" s="1"/>
  <c r="W488" i="3" l="1"/>
  <c r="L488" i="3"/>
  <c r="P489" i="3"/>
  <c r="Q489" i="3" s="1"/>
  <c r="R489" i="3" s="1"/>
  <c r="S489" i="3" s="1"/>
  <c r="AC489" i="3"/>
  <c r="AA489" i="3"/>
  <c r="AD489" i="3"/>
  <c r="Z489" i="3"/>
  <c r="U488" i="3" l="1"/>
  <c r="Y487" i="3"/>
  <c r="T489" i="3"/>
  <c r="AH489" i="3" s="1"/>
  <c r="AG489" i="3" l="1"/>
  <c r="D489" i="3"/>
  <c r="E489" i="3"/>
  <c r="H489" i="3" s="1"/>
  <c r="K489" i="3" s="1"/>
  <c r="AE489" i="3" s="1"/>
  <c r="F489" i="3" l="1"/>
  <c r="G489" i="3"/>
  <c r="M489" i="3" s="1"/>
  <c r="N489" i="3" s="1"/>
  <c r="V489" i="3"/>
  <c r="A490" i="3"/>
  <c r="B490" i="3" s="1"/>
  <c r="I489" i="3" l="1"/>
  <c r="W489" i="3" s="1"/>
  <c r="J489" i="3"/>
  <c r="L489" i="3" s="1"/>
  <c r="Z490" i="3"/>
  <c r="AC490" i="3"/>
  <c r="P490" i="3"/>
  <c r="Q490" i="3" s="1"/>
  <c r="R490" i="3" s="1"/>
  <c r="S490" i="3" s="1"/>
  <c r="AD490" i="3"/>
  <c r="AA490" i="3"/>
  <c r="T490" i="3" l="1"/>
  <c r="AH490" i="3" s="1"/>
  <c r="U489" i="3"/>
  <c r="Y488" i="3"/>
  <c r="E490" i="3" l="1"/>
  <c r="H490" i="3" s="1"/>
  <c r="K490" i="3" s="1"/>
  <c r="AE490" i="3" s="1"/>
  <c r="D490" i="3"/>
  <c r="AG490" i="3"/>
  <c r="V490" i="3" l="1"/>
  <c r="A491" i="3"/>
  <c r="B491" i="3" s="1"/>
  <c r="F490" i="3"/>
  <c r="G490" i="3"/>
  <c r="I490" i="3" l="1"/>
  <c r="W490" i="3" s="1"/>
  <c r="J490" i="3"/>
  <c r="M490" i="3"/>
  <c r="N490" i="3" s="1"/>
  <c r="P491" i="3"/>
  <c r="Q491" i="3" s="1"/>
  <c r="R491" i="3" s="1"/>
  <c r="S491" i="3" s="1"/>
  <c r="Z491" i="3"/>
  <c r="AD491" i="3"/>
  <c r="AC491" i="3"/>
  <c r="AA491" i="3"/>
  <c r="T491" i="3" l="1"/>
  <c r="L490" i="3"/>
  <c r="AH491" i="3" l="1"/>
  <c r="U490" i="3"/>
  <c r="D491" i="3" s="1"/>
  <c r="AG491" i="3"/>
  <c r="Y489" i="3"/>
  <c r="E491" i="3" l="1"/>
  <c r="H491" i="3" s="1"/>
  <c r="K491" i="3" s="1"/>
  <c r="AE491" i="3" s="1"/>
  <c r="G491" i="3"/>
  <c r="F491" i="3" l="1"/>
  <c r="I491" i="3"/>
  <c r="J491" i="3"/>
  <c r="M491" i="3"/>
  <c r="N491" i="3" s="1"/>
  <c r="V491" i="3"/>
  <c r="A492" i="3"/>
  <c r="B492" i="3" s="1"/>
  <c r="W491" i="3" l="1"/>
  <c r="L491" i="3"/>
  <c r="AC492" i="3"/>
  <c r="AA492" i="3"/>
  <c r="P492" i="3"/>
  <c r="Q492" i="3" s="1"/>
  <c r="R492" i="3" s="1"/>
  <c r="S492" i="3" s="1"/>
  <c r="Z492" i="3"/>
  <c r="AD492" i="3"/>
  <c r="T492" i="3" l="1"/>
  <c r="U491" i="3"/>
  <c r="Y490" i="3"/>
  <c r="D492" i="3" l="1"/>
  <c r="G492" i="3" s="1"/>
  <c r="AH492" i="3"/>
  <c r="AG492" i="3"/>
  <c r="E492" i="3"/>
  <c r="H492" i="3" s="1"/>
  <c r="F492" i="3" l="1"/>
  <c r="I492" i="3"/>
  <c r="J492" i="3"/>
  <c r="M492" i="3"/>
  <c r="N492" i="3" s="1"/>
  <c r="K492" i="3"/>
  <c r="AE492" i="3" s="1"/>
  <c r="L492" i="3" l="1"/>
  <c r="V492" i="3"/>
  <c r="W492" i="3" s="1"/>
  <c r="A493" i="3"/>
  <c r="B493" i="3" s="1"/>
  <c r="U492" i="3" l="1"/>
  <c r="Y491" i="3"/>
  <c r="P493" i="3"/>
  <c r="Q493" i="3" s="1"/>
  <c r="R493" i="3" s="1"/>
  <c r="S493" i="3" s="1"/>
  <c r="AC493" i="3"/>
  <c r="AA493" i="3"/>
  <c r="Z493" i="3"/>
  <c r="AD493" i="3"/>
  <c r="T493" i="3" l="1"/>
  <c r="AH493" i="3" s="1"/>
  <c r="AG493" i="3" l="1"/>
  <c r="E493" i="3"/>
  <c r="H493" i="3" s="1"/>
  <c r="K493" i="3" s="1"/>
  <c r="AE493" i="3" s="1"/>
  <c r="D493" i="3"/>
  <c r="F493" i="3" l="1"/>
  <c r="G493" i="3"/>
  <c r="J493" i="3" s="1"/>
  <c r="V493" i="3"/>
  <c r="A494" i="3"/>
  <c r="B494" i="3" s="1"/>
  <c r="M493" i="3" l="1"/>
  <c r="N493" i="3" s="1"/>
  <c r="I493" i="3"/>
  <c r="W493" i="3" s="1"/>
  <c r="L493" i="3"/>
  <c r="P494" i="3"/>
  <c r="Q494" i="3" s="1"/>
  <c r="R494" i="3" s="1"/>
  <c r="S494" i="3" s="1"/>
  <c r="AC494" i="3"/>
  <c r="Z494" i="3"/>
  <c r="AA494" i="3"/>
  <c r="T494" i="3" l="1"/>
  <c r="AH494" i="3" s="1"/>
  <c r="U493" i="3"/>
  <c r="Y492" i="3"/>
  <c r="E494" i="3" l="1"/>
  <c r="H494" i="3" s="1"/>
  <c r="K494" i="3" s="1"/>
  <c r="AE494" i="3" s="1"/>
  <c r="D494" i="3"/>
  <c r="AG494" i="3"/>
  <c r="F494" i="3" l="1"/>
  <c r="G494" i="3"/>
  <c r="V494" i="3"/>
  <c r="A495" i="3"/>
  <c r="B495" i="3" s="1"/>
  <c r="Z495" i="3" l="1"/>
  <c r="P495" i="3"/>
  <c r="Q495" i="3" s="1"/>
  <c r="R495" i="3" s="1"/>
  <c r="S495" i="3" s="1"/>
  <c r="AA495" i="3"/>
  <c r="AD495" i="3"/>
  <c r="AC495" i="3"/>
  <c r="I494" i="3"/>
  <c r="W494" i="3" s="1"/>
  <c r="J494" i="3"/>
  <c r="AD494" i="3" s="1"/>
  <c r="M494" i="3"/>
  <c r="N494" i="3" s="1"/>
  <c r="L494" i="3" l="1"/>
  <c r="T495" i="3"/>
  <c r="AG495" i="3" l="1"/>
  <c r="U494" i="3"/>
  <c r="D495" i="3" s="1"/>
  <c r="AH495" i="3"/>
  <c r="Y493" i="3"/>
  <c r="E495" i="3" l="1"/>
  <c r="H495" i="3" s="1"/>
  <c r="K495" i="3" s="1"/>
  <c r="AE495" i="3" s="1"/>
  <c r="G495" i="3"/>
  <c r="F495" i="3" l="1"/>
  <c r="V495" i="3"/>
  <c r="A496" i="3"/>
  <c r="B496" i="3" s="1"/>
  <c r="I495" i="3"/>
  <c r="J495" i="3"/>
  <c r="M495" i="3"/>
  <c r="N495" i="3" s="1"/>
  <c r="W495" i="3" l="1"/>
  <c r="L495" i="3"/>
  <c r="AD496" i="3"/>
  <c r="AA496" i="3"/>
  <c r="P496" i="3"/>
  <c r="Q496" i="3" s="1"/>
  <c r="R496" i="3" s="1"/>
  <c r="S496" i="3" s="1"/>
  <c r="Z496" i="3"/>
  <c r="AC496" i="3"/>
  <c r="U495" i="3" l="1"/>
  <c r="Y494" i="3"/>
  <c r="T496" i="3"/>
  <c r="AH496" i="3" s="1"/>
  <c r="D496" i="3" l="1"/>
  <c r="G496" i="3" s="1"/>
  <c r="AG496" i="3"/>
  <c r="E496" i="3"/>
  <c r="H496" i="3" s="1"/>
  <c r="K496" i="3" s="1"/>
  <c r="AE496" i="3" s="1"/>
  <c r="F496" i="3" l="1"/>
  <c r="V496" i="3"/>
  <c r="A497" i="3"/>
  <c r="B497" i="3" s="1"/>
  <c r="I496" i="3"/>
  <c r="J496" i="3"/>
  <c r="M496" i="3"/>
  <c r="N496" i="3" s="1"/>
  <c r="W496" i="3" l="1"/>
  <c r="L496" i="3"/>
  <c r="P497" i="3"/>
  <c r="Q497" i="3" s="1"/>
  <c r="R497" i="3" s="1"/>
  <c r="S497" i="3" s="1"/>
  <c r="AC497" i="3"/>
  <c r="AA497" i="3"/>
  <c r="AD497" i="3"/>
  <c r="Z497" i="3"/>
  <c r="U496" i="3" l="1"/>
  <c r="Y495" i="3"/>
  <c r="T497" i="3"/>
  <c r="AG497" i="3" s="1"/>
  <c r="E497" i="3" l="1"/>
  <c r="H497" i="3" s="1"/>
  <c r="D497" i="3"/>
  <c r="AH497" i="3"/>
  <c r="F497" i="3" l="1"/>
  <c r="G497" i="3"/>
  <c r="K497" i="3"/>
  <c r="AE497" i="3" s="1"/>
  <c r="I497" i="3" l="1"/>
  <c r="J497" i="3"/>
  <c r="M497" i="3"/>
  <c r="N497" i="3" s="1"/>
  <c r="V497" i="3"/>
  <c r="A498" i="3"/>
  <c r="B498" i="3" s="1"/>
  <c r="W497" i="3" l="1"/>
  <c r="L497" i="3"/>
  <c r="Z498" i="3"/>
  <c r="AC498" i="3"/>
  <c r="AD498" i="3"/>
  <c r="AA498" i="3"/>
  <c r="P498" i="3"/>
  <c r="Q498" i="3" s="1"/>
  <c r="R498" i="3" s="1"/>
  <c r="S498" i="3" s="1"/>
  <c r="U497" i="3" l="1"/>
  <c r="Y496" i="3"/>
  <c r="T498" i="3"/>
  <c r="AH498" i="3" s="1"/>
  <c r="AG498" i="3" l="1"/>
  <c r="D498" i="3"/>
  <c r="E498" i="3"/>
  <c r="H498" i="3" s="1"/>
  <c r="F498" i="3" l="1"/>
  <c r="G498" i="3"/>
  <c r="K498" i="3"/>
  <c r="AE498" i="3" s="1"/>
  <c r="I498" i="3" l="1"/>
  <c r="J498" i="3"/>
  <c r="M498" i="3"/>
  <c r="N498" i="3" s="1"/>
  <c r="V498" i="3"/>
  <c r="A499" i="3"/>
  <c r="B499" i="3" s="1"/>
  <c r="W498" i="3" l="1"/>
  <c r="L498" i="3"/>
  <c r="AC499" i="3"/>
  <c r="P499" i="3"/>
  <c r="Q499" i="3" s="1"/>
  <c r="R499" i="3" s="1"/>
  <c r="S499" i="3" s="1"/>
  <c r="AD499" i="3"/>
  <c r="AA499" i="3"/>
  <c r="Z499" i="3"/>
  <c r="T499" i="3" l="1"/>
  <c r="U498" i="3"/>
  <c r="Y497" i="3"/>
  <c r="D499" i="3" l="1"/>
  <c r="G499" i="3" s="1"/>
  <c r="AH499" i="3"/>
  <c r="E499" i="3"/>
  <c r="H499" i="3" s="1"/>
  <c r="AG499" i="3"/>
  <c r="F499" i="3" l="1"/>
  <c r="I499" i="3"/>
  <c r="J499" i="3"/>
  <c r="M499" i="3"/>
  <c r="N499" i="3" s="1"/>
  <c r="K499" i="3"/>
  <c r="AE499" i="3" s="1"/>
  <c r="V499" i="3" l="1"/>
  <c r="W499" i="3" s="1"/>
  <c r="A500" i="3"/>
  <c r="B500" i="3" s="1"/>
  <c r="L499" i="3"/>
  <c r="U499" i="3" l="1"/>
  <c r="Y498" i="3"/>
  <c r="AD500" i="3"/>
  <c r="AA500" i="3"/>
  <c r="AC500" i="3"/>
  <c r="P500" i="3"/>
  <c r="Q500" i="3" s="1"/>
  <c r="R500" i="3" s="1"/>
  <c r="S500" i="3" s="1"/>
  <c r="Z500" i="3"/>
  <c r="T500" i="3" l="1"/>
  <c r="AH500" i="3" s="1"/>
  <c r="D500" i="3" l="1"/>
  <c r="AG500" i="3"/>
  <c r="E500" i="3"/>
  <c r="H500" i="3" s="1"/>
  <c r="F500" i="3" l="1"/>
  <c r="G500" i="3"/>
  <c r="K500" i="3"/>
  <c r="AE500" i="3" s="1"/>
  <c r="I500" i="3" l="1"/>
  <c r="J500" i="3"/>
  <c r="M500" i="3"/>
  <c r="N500" i="3" s="1"/>
  <c r="V500" i="3"/>
  <c r="A501" i="3"/>
  <c r="B501" i="3" s="1"/>
  <c r="W500" i="3" l="1"/>
  <c r="L500" i="3"/>
  <c r="P501" i="3"/>
  <c r="Q501" i="3" s="1"/>
  <c r="R501" i="3" s="1"/>
  <c r="S501" i="3" s="1"/>
  <c r="AC501" i="3"/>
  <c r="AD501" i="3"/>
  <c r="Z501" i="3"/>
  <c r="AA501" i="3"/>
  <c r="U500" i="3" l="1"/>
  <c r="Y499" i="3"/>
  <c r="T501" i="3"/>
  <c r="D501" i="3" l="1"/>
  <c r="G501" i="3" s="1"/>
  <c r="E501" i="3"/>
  <c r="H501" i="3" s="1"/>
  <c r="K501" i="3" s="1"/>
  <c r="AE501" i="3" s="1"/>
  <c r="AG501" i="3"/>
  <c r="AH501" i="3"/>
  <c r="F501" i="3" l="1"/>
  <c r="I501" i="3"/>
  <c r="J501" i="3"/>
  <c r="M501" i="3"/>
  <c r="N501" i="3" s="1"/>
  <c r="V501" i="3"/>
  <c r="A502" i="3"/>
  <c r="B502" i="3" s="1"/>
  <c r="L501" i="3" l="1"/>
  <c r="W501" i="3"/>
  <c r="Z502" i="3"/>
  <c r="AA502" i="3"/>
  <c r="AC502" i="3"/>
  <c r="AD502" i="3"/>
  <c r="P502" i="3"/>
  <c r="Q502" i="3" s="1"/>
  <c r="R502" i="3" s="1"/>
  <c r="S502" i="3" s="1"/>
  <c r="U501" i="3" l="1"/>
  <c r="Y500" i="3"/>
  <c r="T502" i="3"/>
  <c r="E502" i="3" l="1"/>
  <c r="H502" i="3" s="1"/>
  <c r="K502" i="3" s="1"/>
  <c r="AE502" i="3" s="1"/>
  <c r="AG502" i="3"/>
  <c r="D502" i="3"/>
  <c r="AH502" i="3"/>
  <c r="F502" i="3" l="1"/>
  <c r="G502" i="3"/>
  <c r="V502" i="3"/>
  <c r="A503" i="3"/>
  <c r="B503" i="3" s="1"/>
  <c r="I502" i="3" l="1"/>
  <c r="W502" i="3" s="1"/>
  <c r="J502" i="3"/>
  <c r="M502" i="3"/>
  <c r="N502" i="3" s="1"/>
  <c r="AA503" i="3"/>
  <c r="P503" i="3"/>
  <c r="Q503" i="3" s="1"/>
  <c r="R503" i="3" s="1"/>
  <c r="S503" i="3" s="1"/>
  <c r="AD503" i="3"/>
  <c r="AC503" i="3"/>
  <c r="Z503" i="3"/>
  <c r="T503" i="3" l="1"/>
  <c r="L502" i="3"/>
  <c r="AG503" i="3" l="1"/>
  <c r="AH503" i="3"/>
  <c r="U502" i="3"/>
  <c r="E503" i="3" s="1"/>
  <c r="H503" i="3" s="1"/>
  <c r="Y501" i="3"/>
  <c r="D503" i="3" l="1"/>
  <c r="G503" i="3" s="1"/>
  <c r="K503" i="3"/>
  <c r="AE503" i="3" s="1"/>
  <c r="F503" i="3" l="1"/>
  <c r="V503" i="3"/>
  <c r="A504" i="3"/>
  <c r="B504" i="3" s="1"/>
  <c r="I503" i="3"/>
  <c r="J503" i="3"/>
  <c r="M503" i="3"/>
  <c r="N503" i="3" s="1"/>
  <c r="W503" i="3" l="1"/>
  <c r="L503" i="3"/>
  <c r="P504" i="3"/>
  <c r="Q504" i="3" s="1"/>
  <c r="R504" i="3" s="1"/>
  <c r="S504" i="3" s="1"/>
  <c r="Z504" i="3"/>
  <c r="AA504" i="3"/>
  <c r="AC504" i="3"/>
  <c r="U503" i="3" l="1"/>
  <c r="Y502" i="3"/>
  <c r="T504" i="3"/>
  <c r="AG504" i="3" s="1"/>
  <c r="E504" i="3" l="1"/>
  <c r="H504" i="3" s="1"/>
  <c r="K504" i="3" s="1"/>
  <c r="AE504" i="3" s="1"/>
  <c r="D504" i="3"/>
  <c r="AH504" i="3"/>
  <c r="F504" i="3" l="1"/>
  <c r="G504" i="3"/>
  <c r="I504" i="3" s="1"/>
  <c r="V504" i="3"/>
  <c r="A505" i="3"/>
  <c r="B505" i="3" s="1"/>
  <c r="J504" i="3" l="1"/>
  <c r="W504" i="3"/>
  <c r="M504" i="3"/>
  <c r="N504" i="3" s="1"/>
  <c r="P505" i="3"/>
  <c r="Q505" i="3" s="1"/>
  <c r="R505" i="3" s="1"/>
  <c r="S505" i="3" s="1"/>
  <c r="AC505" i="3"/>
  <c r="Z505" i="3"/>
  <c r="AD505" i="3"/>
  <c r="AA505" i="3"/>
  <c r="L504" i="3" l="1"/>
  <c r="Y503" i="3" s="1"/>
  <c r="AD504" i="3"/>
  <c r="T505" i="3"/>
  <c r="AH505" i="3" l="1"/>
  <c r="U504" i="3"/>
  <c r="D505" i="3" s="1"/>
  <c r="G505" i="3" s="1"/>
  <c r="AG505" i="3"/>
  <c r="E505" i="3" l="1"/>
  <c r="H505" i="3" s="1"/>
  <c r="K505" i="3" s="1"/>
  <c r="AE505" i="3" s="1"/>
  <c r="J505" i="3"/>
  <c r="I505" i="3" l="1"/>
  <c r="F505" i="3"/>
  <c r="V505" i="3"/>
  <c r="M505" i="3"/>
  <c r="N505" i="3" s="1"/>
  <c r="A506" i="3"/>
  <c r="B506" i="3" s="1"/>
  <c r="P506" i="3" s="1"/>
  <c r="Q506" i="3" s="1"/>
  <c r="R506" i="3" s="1"/>
  <c r="S506" i="3" s="1"/>
  <c r="L505" i="3"/>
  <c r="W505" i="3" l="1"/>
  <c r="AA506" i="3"/>
  <c r="AD506" i="3"/>
  <c r="AC506" i="3"/>
  <c r="Z506" i="3"/>
  <c r="U505" i="3"/>
  <c r="Y504" i="3"/>
  <c r="T506" i="3"/>
  <c r="AG506" i="3" l="1"/>
  <c r="D506" i="3"/>
  <c r="G506" i="3" s="1"/>
  <c r="AH506" i="3"/>
  <c r="E506" i="3"/>
  <c r="H506" i="3" s="1"/>
  <c r="K506" i="3" s="1"/>
  <c r="AE506" i="3" s="1"/>
  <c r="F506" i="3" l="1"/>
  <c r="I506" i="3"/>
  <c r="J506" i="3"/>
  <c r="M506" i="3"/>
  <c r="N506" i="3" s="1"/>
  <c r="V506" i="3"/>
  <c r="A507" i="3"/>
  <c r="B507" i="3" s="1"/>
  <c r="W506" i="3" l="1"/>
  <c r="L506" i="3"/>
  <c r="AD507" i="3"/>
  <c r="AC507" i="3"/>
  <c r="P507" i="3"/>
  <c r="Q507" i="3" s="1"/>
  <c r="R507" i="3" s="1"/>
  <c r="S507" i="3" s="1"/>
  <c r="AA507" i="3"/>
  <c r="Z507" i="3"/>
  <c r="U506" i="3" l="1"/>
  <c r="Y505" i="3"/>
  <c r="T507" i="3"/>
  <c r="AH507" i="3" s="1"/>
  <c r="AG507" i="3" l="1"/>
  <c r="E507" i="3"/>
  <c r="H507" i="3" s="1"/>
  <c r="D507" i="3"/>
  <c r="K507" i="3" l="1"/>
  <c r="AE507" i="3" s="1"/>
  <c r="F507" i="3"/>
  <c r="G507" i="3"/>
  <c r="I507" i="3" l="1"/>
  <c r="J507" i="3"/>
  <c r="M507" i="3"/>
  <c r="N507" i="3" s="1"/>
  <c r="V507" i="3"/>
  <c r="A508" i="3"/>
  <c r="B508" i="3" s="1"/>
  <c r="W507" i="3" l="1"/>
  <c r="L507" i="3"/>
  <c r="P508" i="3"/>
  <c r="Q508" i="3" s="1"/>
  <c r="R508" i="3" s="1"/>
  <c r="S508" i="3" s="1"/>
  <c r="AD508" i="3"/>
  <c r="AA508" i="3"/>
  <c r="Z508" i="3"/>
  <c r="AC508" i="3"/>
  <c r="U507" i="3" l="1"/>
  <c r="Y506" i="3"/>
  <c r="T508" i="3"/>
  <c r="E508" i="3" l="1"/>
  <c r="H508" i="3" s="1"/>
  <c r="K508" i="3" s="1"/>
  <c r="AE508" i="3" s="1"/>
  <c r="AH508" i="3"/>
  <c r="D508" i="3"/>
  <c r="AG508" i="3"/>
  <c r="F508" i="3" l="1"/>
  <c r="G508" i="3"/>
  <c r="V508" i="3"/>
  <c r="A509" i="3"/>
  <c r="B509" i="3" s="1"/>
  <c r="AD509" i="3" l="1"/>
  <c r="AC509" i="3"/>
  <c r="Z509" i="3"/>
  <c r="AA509" i="3"/>
  <c r="P509" i="3"/>
  <c r="Q509" i="3" s="1"/>
  <c r="R509" i="3" s="1"/>
  <c r="S509" i="3" s="1"/>
  <c r="I508" i="3"/>
  <c r="W508" i="3" s="1"/>
  <c r="J508" i="3"/>
  <c r="M508" i="3"/>
  <c r="N508" i="3" s="1"/>
  <c r="L508" i="3" l="1"/>
  <c r="T509" i="3"/>
  <c r="AG509" i="3" l="1"/>
  <c r="AH509" i="3"/>
  <c r="U508" i="3"/>
  <c r="D509" i="3" s="1"/>
  <c r="Y507" i="3"/>
  <c r="G509" i="3" l="1"/>
  <c r="E509" i="3"/>
  <c r="H509" i="3" s="1"/>
  <c r="F509" i="3" l="1"/>
  <c r="I509" i="3"/>
  <c r="J509" i="3"/>
  <c r="M509" i="3"/>
  <c r="N509" i="3" s="1"/>
  <c r="K509" i="3"/>
  <c r="AE509" i="3" s="1"/>
  <c r="V509" i="3" l="1"/>
  <c r="W509" i="3" s="1"/>
  <c r="A510" i="3"/>
  <c r="B510" i="3" s="1"/>
  <c r="L509" i="3"/>
  <c r="U509" i="3" l="1"/>
  <c r="Y508" i="3"/>
  <c r="AC510" i="3"/>
  <c r="Z510" i="3"/>
  <c r="AA510" i="3"/>
  <c r="AD510" i="3"/>
  <c r="P510" i="3"/>
  <c r="Q510" i="3" s="1"/>
  <c r="R510" i="3" s="1"/>
  <c r="S510" i="3" s="1"/>
  <c r="T510" i="3" l="1"/>
  <c r="AH510" i="3" l="1"/>
  <c r="E510" i="3"/>
  <c r="H510" i="3" s="1"/>
  <c r="D510" i="3"/>
  <c r="AG510" i="3"/>
  <c r="F510" i="3" l="1"/>
  <c r="G510" i="3"/>
  <c r="K510" i="3"/>
  <c r="AE510" i="3" s="1"/>
  <c r="V510" i="3" l="1"/>
  <c r="A511" i="3"/>
  <c r="B511" i="3" s="1"/>
  <c r="I510" i="3"/>
  <c r="J510" i="3"/>
  <c r="M510" i="3"/>
  <c r="N510" i="3" s="1"/>
  <c r="L510" i="3" l="1"/>
  <c r="AA511" i="3"/>
  <c r="AC511" i="3"/>
  <c r="P511" i="3"/>
  <c r="Q511" i="3" s="1"/>
  <c r="R511" i="3" s="1"/>
  <c r="S511" i="3" s="1"/>
  <c r="Z511" i="3"/>
  <c r="AD511" i="3"/>
  <c r="W510" i="3"/>
  <c r="U510" i="3" l="1"/>
  <c r="Y509" i="3"/>
  <c r="T511" i="3"/>
  <c r="AG511" i="3" s="1"/>
  <c r="AH511" i="3" l="1"/>
  <c r="D511" i="3"/>
  <c r="E511" i="3"/>
  <c r="H511" i="3" s="1"/>
  <c r="F511" i="3" l="1"/>
  <c r="G511" i="3"/>
  <c r="K511" i="3"/>
  <c r="AE511" i="3" s="1"/>
  <c r="V511" i="3" l="1"/>
  <c r="A512" i="3"/>
  <c r="B512" i="3" s="1"/>
  <c r="I511" i="3"/>
  <c r="J511" i="3"/>
  <c r="M511" i="3"/>
  <c r="N511" i="3" s="1"/>
  <c r="W511" i="3" l="1"/>
  <c r="L511" i="3"/>
  <c r="AC512" i="3"/>
  <c r="Z512" i="3"/>
  <c r="AA512" i="3"/>
  <c r="P512" i="3"/>
  <c r="Q512" i="3" s="1"/>
  <c r="R512" i="3" s="1"/>
  <c r="S512" i="3" s="1"/>
  <c r="AD512" i="3"/>
  <c r="T512" i="3" l="1"/>
  <c r="U511" i="3"/>
  <c r="Y510" i="3"/>
  <c r="D512" i="3" l="1"/>
  <c r="G512" i="3" s="1"/>
  <c r="AH512" i="3"/>
  <c r="E512" i="3"/>
  <c r="H512" i="3" s="1"/>
  <c r="K512" i="3" s="1"/>
  <c r="AE512" i="3" s="1"/>
  <c r="AG512" i="3"/>
  <c r="F512" i="3" l="1"/>
  <c r="I512" i="3"/>
  <c r="J512" i="3"/>
  <c r="M512" i="3"/>
  <c r="N512" i="3" s="1"/>
  <c r="V512" i="3"/>
  <c r="A513" i="3"/>
  <c r="B513" i="3" s="1"/>
  <c r="W512" i="3" l="1"/>
  <c r="L512" i="3"/>
  <c r="AA513" i="3"/>
  <c r="P513" i="3"/>
  <c r="Q513" i="3" s="1"/>
  <c r="R513" i="3" s="1"/>
  <c r="S513" i="3" s="1"/>
  <c r="AC513" i="3"/>
  <c r="AD513" i="3"/>
  <c r="Z513" i="3"/>
  <c r="T513" i="3" l="1"/>
  <c r="AG513" i="3" s="1"/>
  <c r="U512" i="3"/>
  <c r="Y511" i="3"/>
  <c r="AH513" i="3" l="1"/>
  <c r="E513" i="3"/>
  <c r="H513" i="3" s="1"/>
  <c r="D513" i="3"/>
  <c r="F513" i="3" l="1"/>
  <c r="G513" i="3"/>
  <c r="K513" i="3"/>
  <c r="AE513" i="3" s="1"/>
  <c r="V513" i="3" l="1"/>
  <c r="A514" i="3"/>
  <c r="B514" i="3" s="1"/>
  <c r="I513" i="3"/>
  <c r="J513" i="3"/>
  <c r="M513" i="3"/>
  <c r="N513" i="3" s="1"/>
  <c r="L513" i="3" l="1"/>
  <c r="Z514" i="3"/>
  <c r="AA514" i="3"/>
  <c r="AC514" i="3"/>
  <c r="P514" i="3"/>
  <c r="Q514" i="3" s="1"/>
  <c r="R514" i="3" s="1"/>
  <c r="S514" i="3" s="1"/>
  <c r="W513" i="3"/>
  <c r="T514" i="3" l="1"/>
  <c r="AH514" i="3" s="1"/>
  <c r="U513" i="3"/>
  <c r="Y512" i="3"/>
  <c r="AG514" i="3" l="1"/>
  <c r="E514" i="3"/>
  <c r="H514" i="3" s="1"/>
  <c r="D514" i="3"/>
  <c r="K514" i="3" l="1"/>
  <c r="AE514" i="3" s="1"/>
  <c r="F514" i="3"/>
  <c r="G514" i="3"/>
  <c r="V514" i="3" l="1"/>
  <c r="A515" i="3"/>
  <c r="B515" i="3" s="1"/>
  <c r="I514" i="3"/>
  <c r="J514" i="3"/>
  <c r="AD514" i="3" s="1"/>
  <c r="M514" i="3"/>
  <c r="N514" i="3" s="1"/>
  <c r="W514" i="3" l="1"/>
  <c r="L514" i="3"/>
  <c r="AD515" i="3"/>
  <c r="P515" i="3"/>
  <c r="Q515" i="3" s="1"/>
  <c r="R515" i="3" s="1"/>
  <c r="S515" i="3" s="1"/>
  <c r="AC515" i="3"/>
  <c r="Z515" i="3"/>
  <c r="AA515" i="3"/>
  <c r="U514" i="3" l="1"/>
  <c r="Y513" i="3"/>
  <c r="T515" i="3"/>
  <c r="D515" i="3" l="1"/>
  <c r="G515" i="3" s="1"/>
  <c r="AG515" i="3"/>
  <c r="AH515" i="3"/>
  <c r="E515" i="3"/>
  <c r="H515" i="3" s="1"/>
  <c r="K515" i="3" l="1"/>
  <c r="AE515" i="3" s="1"/>
  <c r="I515" i="3"/>
  <c r="J515" i="3"/>
  <c r="M515" i="3"/>
  <c r="N515" i="3" s="1"/>
  <c r="F515" i="3"/>
  <c r="L515" i="3" l="1"/>
  <c r="V515" i="3"/>
  <c r="W515" i="3" s="1"/>
  <c r="A516" i="3"/>
  <c r="B516" i="3" s="1"/>
  <c r="U515" i="3" l="1"/>
  <c r="Y514" i="3"/>
  <c r="AA516" i="3"/>
  <c r="Z516" i="3"/>
  <c r="AC516" i="3"/>
  <c r="P516" i="3"/>
  <c r="Q516" i="3" s="1"/>
  <c r="R516" i="3" s="1"/>
  <c r="S516" i="3" s="1"/>
  <c r="AD516" i="3"/>
  <c r="T516" i="3" l="1"/>
  <c r="AG516" i="3" s="1"/>
  <c r="D516" i="3" l="1"/>
  <c r="AH516" i="3"/>
  <c r="E516" i="3"/>
  <c r="H516" i="3" s="1"/>
  <c r="F516" i="3" l="1"/>
  <c r="G516" i="3"/>
  <c r="K516" i="3"/>
  <c r="AE516" i="3" s="1"/>
  <c r="I516" i="3" l="1"/>
  <c r="J516" i="3"/>
  <c r="M516" i="3"/>
  <c r="N516" i="3" s="1"/>
  <c r="V516" i="3"/>
  <c r="A517" i="3"/>
  <c r="B517" i="3" s="1"/>
  <c r="W516" i="3" l="1"/>
  <c r="L516" i="3"/>
  <c r="AD517" i="3"/>
  <c r="AC517" i="3"/>
  <c r="P517" i="3"/>
  <c r="Q517" i="3" s="1"/>
  <c r="R517" i="3" s="1"/>
  <c r="S517" i="3" s="1"/>
  <c r="AA517" i="3"/>
  <c r="Z517" i="3"/>
  <c r="U516" i="3" l="1"/>
  <c r="Y515" i="3"/>
  <c r="T517" i="3"/>
  <c r="AG517" i="3" s="1"/>
  <c r="D517" i="3" l="1"/>
  <c r="G517" i="3" s="1"/>
  <c r="AH517" i="3"/>
  <c r="E517" i="3"/>
  <c r="H517" i="3" s="1"/>
  <c r="K517" i="3" s="1"/>
  <c r="AE517" i="3" s="1"/>
  <c r="F517" i="3" l="1"/>
  <c r="I517" i="3"/>
  <c r="J517" i="3"/>
  <c r="M517" i="3"/>
  <c r="N517" i="3" s="1"/>
  <c r="V517" i="3"/>
  <c r="A518" i="3"/>
  <c r="B518" i="3" s="1"/>
  <c r="W517" i="3" l="1"/>
  <c r="L517" i="3"/>
  <c r="AD518" i="3"/>
  <c r="AA518" i="3"/>
  <c r="AC518" i="3"/>
  <c r="Z518" i="3"/>
  <c r="P518" i="3"/>
  <c r="Q518" i="3" s="1"/>
  <c r="R518" i="3" s="1"/>
  <c r="S518" i="3" s="1"/>
  <c r="U517" i="3" l="1"/>
  <c r="Y516" i="3"/>
  <c r="T518" i="3"/>
  <c r="D518" i="3" l="1"/>
  <c r="G518" i="3" s="1"/>
  <c r="E518" i="3"/>
  <c r="H518" i="3" s="1"/>
  <c r="AH518" i="3"/>
  <c r="AG518" i="3"/>
  <c r="F518" i="3" l="1"/>
  <c r="I518" i="3"/>
  <c r="J518" i="3"/>
  <c r="M518" i="3"/>
  <c r="N518" i="3" s="1"/>
  <c r="K518" i="3"/>
  <c r="AE518" i="3" s="1"/>
  <c r="V518" i="3" l="1"/>
  <c r="W518" i="3" s="1"/>
  <c r="A519" i="3"/>
  <c r="B519" i="3" s="1"/>
  <c r="L518" i="3"/>
  <c r="U518" i="3" l="1"/>
  <c r="Y517" i="3"/>
  <c r="AD519" i="3"/>
  <c r="AA519" i="3"/>
  <c r="Z519" i="3"/>
  <c r="AC519" i="3"/>
  <c r="P519" i="3"/>
  <c r="Q519" i="3" s="1"/>
  <c r="R519" i="3" s="1"/>
  <c r="S519" i="3" s="1"/>
  <c r="T519" i="3" l="1"/>
  <c r="D519" i="3" s="1"/>
  <c r="AG519" i="3" l="1"/>
  <c r="G519" i="3"/>
  <c r="AH519" i="3"/>
  <c r="E519" i="3"/>
  <c r="H519" i="3" s="1"/>
  <c r="F519" i="3" l="1"/>
  <c r="I519" i="3"/>
  <c r="J519" i="3"/>
  <c r="M519" i="3"/>
  <c r="N519" i="3" s="1"/>
  <c r="K519" i="3"/>
  <c r="AE519" i="3" s="1"/>
  <c r="V519" i="3" l="1"/>
  <c r="W519" i="3" s="1"/>
  <c r="A520" i="3"/>
  <c r="B520" i="3" s="1"/>
  <c r="L519" i="3"/>
  <c r="U519" i="3" l="1"/>
  <c r="Y518" i="3"/>
  <c r="AA520" i="3"/>
  <c r="AC520" i="3"/>
  <c r="Z520" i="3"/>
  <c r="AD520" i="3"/>
  <c r="P520" i="3"/>
  <c r="Q520" i="3" s="1"/>
  <c r="R520" i="3" s="1"/>
  <c r="S520" i="3" s="1"/>
  <c r="T520" i="3" l="1"/>
  <c r="D520" i="3" s="1"/>
  <c r="AG520" i="3" l="1"/>
  <c r="E520" i="3"/>
  <c r="H520" i="3" s="1"/>
  <c r="K520" i="3" s="1"/>
  <c r="AE520" i="3" s="1"/>
  <c r="AH520" i="3"/>
  <c r="G520" i="3"/>
  <c r="F520" i="3" l="1"/>
  <c r="I520" i="3"/>
  <c r="J520" i="3"/>
  <c r="M520" i="3"/>
  <c r="N520" i="3" s="1"/>
  <c r="V520" i="3"/>
  <c r="A521" i="3"/>
  <c r="B521" i="3" s="1"/>
  <c r="W520" i="3" l="1"/>
  <c r="L520" i="3"/>
  <c r="P521" i="3"/>
  <c r="Q521" i="3" s="1"/>
  <c r="R521" i="3" s="1"/>
  <c r="S521" i="3" s="1"/>
  <c r="AC521" i="3"/>
  <c r="AA521" i="3"/>
  <c r="AD521" i="3"/>
  <c r="Z521" i="3"/>
  <c r="U520" i="3" l="1"/>
  <c r="Y519" i="3"/>
  <c r="T521" i="3"/>
  <c r="AH521" i="3" s="1"/>
  <c r="AG521" i="3" l="1"/>
  <c r="D521" i="3"/>
  <c r="E521" i="3"/>
  <c r="H521" i="3" s="1"/>
  <c r="K521" i="3" s="1"/>
  <c r="AE521" i="3" s="1"/>
  <c r="F521" i="3" l="1"/>
  <c r="G521" i="3"/>
  <c r="I521" i="3" s="1"/>
  <c r="V521" i="3"/>
  <c r="A522" i="3"/>
  <c r="B522" i="3" s="1"/>
  <c r="M521" i="3" l="1"/>
  <c r="N521" i="3" s="1"/>
  <c r="J521" i="3"/>
  <c r="L521" i="3" s="1"/>
  <c r="W521" i="3"/>
  <c r="AC522" i="3"/>
  <c r="P522" i="3"/>
  <c r="Q522" i="3" s="1"/>
  <c r="R522" i="3" s="1"/>
  <c r="S522" i="3" s="1"/>
  <c r="AA522" i="3"/>
  <c r="AD522" i="3"/>
  <c r="Z522" i="3"/>
  <c r="U521" i="3" l="1"/>
  <c r="Y520" i="3"/>
  <c r="T522" i="3"/>
  <c r="AG522" i="3" s="1"/>
  <c r="AH522" i="3" l="1"/>
  <c r="E522" i="3"/>
  <c r="H522" i="3" s="1"/>
  <c r="D522" i="3"/>
  <c r="K522" i="3" l="1"/>
  <c r="AE522" i="3" s="1"/>
  <c r="F522" i="3"/>
  <c r="G522" i="3"/>
  <c r="I522" i="3" l="1"/>
  <c r="J522" i="3"/>
  <c r="M522" i="3"/>
  <c r="N522" i="3" s="1"/>
  <c r="V522" i="3"/>
  <c r="A523" i="3"/>
  <c r="B523" i="3" s="1"/>
  <c r="W522" i="3" l="1"/>
  <c r="L522" i="3"/>
  <c r="AC523" i="3"/>
  <c r="Z523" i="3"/>
  <c r="AD523" i="3"/>
  <c r="AA523" i="3"/>
  <c r="P523" i="3"/>
  <c r="Q523" i="3" s="1"/>
  <c r="R523" i="3" s="1"/>
  <c r="S523" i="3" s="1"/>
  <c r="U522" i="3" l="1"/>
  <c r="Y521" i="3"/>
  <c r="T523" i="3"/>
  <c r="AG523" i="3" s="1"/>
  <c r="AH523" i="3" l="1"/>
  <c r="D523" i="3"/>
  <c r="G523" i="3" s="1"/>
  <c r="E523" i="3"/>
  <c r="H523" i="3" s="1"/>
  <c r="F523" i="3" l="1"/>
  <c r="I523" i="3"/>
  <c r="J523" i="3"/>
  <c r="M523" i="3"/>
  <c r="N523" i="3" s="1"/>
  <c r="K523" i="3"/>
  <c r="AE523" i="3" s="1"/>
  <c r="V523" i="3" l="1"/>
  <c r="W523" i="3" s="1"/>
  <c r="A524" i="3"/>
  <c r="B524" i="3" s="1"/>
  <c r="L523" i="3"/>
  <c r="U523" i="3" l="1"/>
  <c r="Y522" i="3"/>
  <c r="Z524" i="3"/>
  <c r="P524" i="3"/>
  <c r="Q524" i="3" s="1"/>
  <c r="R524" i="3" s="1"/>
  <c r="S524" i="3" s="1"/>
  <c r="AC524" i="3"/>
  <c r="AA524" i="3"/>
  <c r="T524" i="3" l="1"/>
  <c r="E524" i="3" s="1"/>
  <c r="H524" i="3" s="1"/>
  <c r="D524" i="3" l="1"/>
  <c r="G524" i="3" s="1"/>
  <c r="K524" i="3"/>
  <c r="AE524" i="3" s="1"/>
  <c r="AH524" i="3"/>
  <c r="AG524" i="3"/>
  <c r="F524" i="3" l="1"/>
  <c r="I524" i="3"/>
  <c r="J524" i="3"/>
  <c r="AD524" i="3" s="1"/>
  <c r="M524" i="3"/>
  <c r="N524" i="3" s="1"/>
  <c r="V524" i="3"/>
  <c r="A525" i="3"/>
  <c r="B525" i="3" s="1"/>
  <c r="W524" i="3" l="1"/>
  <c r="L524" i="3"/>
  <c r="AA525" i="3"/>
  <c r="AC525" i="3"/>
  <c r="AD525" i="3"/>
  <c r="Z525" i="3"/>
  <c r="P525" i="3"/>
  <c r="Q525" i="3" s="1"/>
  <c r="R525" i="3" s="1"/>
  <c r="S525" i="3" s="1"/>
  <c r="T525" i="3" l="1"/>
  <c r="AH525" i="3" s="1"/>
  <c r="U524" i="3"/>
  <c r="Y523" i="3"/>
  <c r="AG525" i="3" l="1"/>
  <c r="D525" i="3"/>
  <c r="E525" i="3"/>
  <c r="H525" i="3" s="1"/>
  <c r="F525" i="3" l="1"/>
  <c r="G525" i="3"/>
  <c r="K525" i="3"/>
  <c r="AE525" i="3" s="1"/>
  <c r="I525" i="3" l="1"/>
  <c r="J525" i="3"/>
  <c r="M525" i="3"/>
  <c r="N525" i="3" s="1"/>
  <c r="V525" i="3"/>
  <c r="A526" i="3"/>
  <c r="B526" i="3" s="1"/>
  <c r="L525" i="3" l="1"/>
  <c r="W525" i="3"/>
  <c r="AA526" i="3"/>
  <c r="P526" i="3"/>
  <c r="Q526" i="3" s="1"/>
  <c r="R526" i="3" s="1"/>
  <c r="S526" i="3" s="1"/>
  <c r="Z526" i="3"/>
  <c r="AD526" i="3"/>
  <c r="AC526" i="3"/>
  <c r="T526" i="3" l="1"/>
  <c r="U525" i="3"/>
  <c r="Y524" i="3"/>
  <c r="D526" i="3" l="1"/>
  <c r="G526" i="3" s="1"/>
  <c r="AH526" i="3"/>
  <c r="E526" i="3"/>
  <c r="H526" i="3" s="1"/>
  <c r="K526" i="3" s="1"/>
  <c r="AE526" i="3" s="1"/>
  <c r="AG526" i="3"/>
  <c r="F526" i="3" l="1"/>
  <c r="V526" i="3"/>
  <c r="A527" i="3"/>
  <c r="B527" i="3" s="1"/>
  <c r="I526" i="3"/>
  <c r="J526" i="3"/>
  <c r="M526" i="3"/>
  <c r="N526" i="3" s="1"/>
  <c r="W526" i="3" l="1"/>
  <c r="L526" i="3"/>
  <c r="AD527" i="3"/>
  <c r="Z527" i="3"/>
  <c r="AC527" i="3"/>
  <c r="P527" i="3"/>
  <c r="Q527" i="3" s="1"/>
  <c r="R527" i="3" s="1"/>
  <c r="S527" i="3" s="1"/>
  <c r="AA527" i="3"/>
  <c r="U526" i="3" l="1"/>
  <c r="Y525" i="3"/>
  <c r="T527" i="3"/>
  <c r="D527" i="3" l="1"/>
  <c r="G527" i="3" s="1"/>
  <c r="E527" i="3"/>
  <c r="H527" i="3" s="1"/>
  <c r="AG527" i="3"/>
  <c r="AH527" i="3"/>
  <c r="F527" i="3" l="1"/>
  <c r="I527" i="3"/>
  <c r="J527" i="3"/>
  <c r="M527" i="3"/>
  <c r="N527" i="3" s="1"/>
  <c r="K527" i="3"/>
  <c r="AE527" i="3" s="1"/>
  <c r="V527" i="3" l="1"/>
  <c r="W527" i="3" s="1"/>
  <c r="A528" i="3"/>
  <c r="B528" i="3" s="1"/>
  <c r="L527" i="3"/>
  <c r="U527" i="3" l="1"/>
  <c r="Y526" i="3"/>
  <c r="Z528" i="3"/>
  <c r="P528" i="3"/>
  <c r="Q528" i="3" s="1"/>
  <c r="R528" i="3" s="1"/>
  <c r="S528" i="3" s="1"/>
  <c r="AC528" i="3"/>
  <c r="AD528" i="3"/>
  <c r="AA528" i="3"/>
  <c r="T528" i="3" l="1"/>
  <c r="AH528" i="3" s="1"/>
  <c r="D528" i="3" l="1"/>
  <c r="E528" i="3"/>
  <c r="H528" i="3" s="1"/>
  <c r="K528" i="3" s="1"/>
  <c r="AE528" i="3" s="1"/>
  <c r="AG528" i="3"/>
  <c r="F528" i="3" l="1"/>
  <c r="G528" i="3"/>
  <c r="M528" i="3" s="1"/>
  <c r="N528" i="3" s="1"/>
  <c r="V528" i="3"/>
  <c r="A529" i="3"/>
  <c r="B529" i="3" s="1"/>
  <c r="I528" i="3" l="1"/>
  <c r="W528" i="3" s="1"/>
  <c r="J528" i="3"/>
  <c r="L528" i="3" s="1"/>
  <c r="Z529" i="3"/>
  <c r="AC529" i="3"/>
  <c r="AD529" i="3"/>
  <c r="P529" i="3"/>
  <c r="Q529" i="3" s="1"/>
  <c r="R529" i="3" s="1"/>
  <c r="S529" i="3" s="1"/>
  <c r="AA529" i="3"/>
  <c r="U528" i="3" l="1"/>
  <c r="Y527" i="3"/>
  <c r="T529" i="3"/>
  <c r="AG529" i="3" s="1"/>
  <c r="D529" i="3" l="1"/>
  <c r="G529" i="3" s="1"/>
  <c r="AH529" i="3"/>
  <c r="E529" i="3"/>
  <c r="H529" i="3" s="1"/>
  <c r="K529" i="3" s="1"/>
  <c r="AE529" i="3" s="1"/>
  <c r="F529" i="3" l="1"/>
  <c r="I529" i="3"/>
  <c r="J529" i="3"/>
  <c r="M529" i="3"/>
  <c r="N529" i="3" s="1"/>
  <c r="V529" i="3"/>
  <c r="A530" i="3"/>
  <c r="B530" i="3" s="1"/>
  <c r="W529" i="3" l="1"/>
  <c r="L529" i="3"/>
  <c r="Z530" i="3"/>
  <c r="AD530" i="3"/>
  <c r="P530" i="3"/>
  <c r="Q530" i="3" s="1"/>
  <c r="R530" i="3" s="1"/>
  <c r="S530" i="3" s="1"/>
  <c r="AC530" i="3"/>
  <c r="AA530" i="3"/>
  <c r="T530" i="3" l="1"/>
  <c r="AG530" i="3" s="1"/>
  <c r="U529" i="3"/>
  <c r="Y528" i="3"/>
  <c r="D530" i="3" l="1"/>
  <c r="G530" i="3" s="1"/>
  <c r="AH530" i="3"/>
  <c r="E530" i="3"/>
  <c r="H530" i="3" s="1"/>
  <c r="F530" i="3" l="1"/>
  <c r="I530" i="3"/>
  <c r="J530" i="3"/>
  <c r="M530" i="3"/>
  <c r="N530" i="3" s="1"/>
  <c r="K530" i="3"/>
  <c r="AE530" i="3" s="1"/>
  <c r="V530" i="3" l="1"/>
  <c r="W530" i="3" s="1"/>
  <c r="A531" i="3"/>
  <c r="B531" i="3" s="1"/>
  <c r="L530" i="3"/>
  <c r="U530" i="3" l="1"/>
  <c r="Y529" i="3"/>
  <c r="Z531" i="3"/>
  <c r="AD531" i="3"/>
  <c r="AC531" i="3"/>
  <c r="AA531" i="3"/>
  <c r="P531" i="3"/>
  <c r="Q531" i="3" s="1"/>
  <c r="R531" i="3" s="1"/>
  <c r="S531" i="3" s="1"/>
  <c r="T531" i="3" l="1"/>
  <c r="AG531" i="3" s="1"/>
  <c r="AH531" i="3" l="1"/>
  <c r="D531" i="3"/>
  <c r="E531" i="3"/>
  <c r="H531" i="3" s="1"/>
  <c r="K531" i="3" l="1"/>
  <c r="AE531" i="3" s="1"/>
  <c r="F531" i="3"/>
  <c r="G531" i="3"/>
  <c r="I531" i="3" l="1"/>
  <c r="J531" i="3"/>
  <c r="M531" i="3"/>
  <c r="N531" i="3" s="1"/>
  <c r="V531" i="3"/>
  <c r="A532" i="3"/>
  <c r="B532" i="3" s="1"/>
  <c r="W531" i="3" l="1"/>
  <c r="L531" i="3"/>
  <c r="AD532" i="3"/>
  <c r="AC532" i="3"/>
  <c r="Z532" i="3"/>
  <c r="P532" i="3"/>
  <c r="Q532" i="3" s="1"/>
  <c r="R532" i="3" s="1"/>
  <c r="S532" i="3" s="1"/>
  <c r="AA532" i="3"/>
  <c r="U531" i="3" l="1"/>
  <c r="Y530" i="3"/>
  <c r="T532" i="3"/>
  <c r="AH532" i="3" s="1"/>
  <c r="D532" i="3" l="1"/>
  <c r="G532" i="3" s="1"/>
  <c r="AG532" i="3"/>
  <c r="E532" i="3"/>
  <c r="H532" i="3" s="1"/>
  <c r="K532" i="3" s="1"/>
  <c r="AE532" i="3" s="1"/>
  <c r="F532" i="3" l="1"/>
  <c r="V532" i="3"/>
  <c r="A533" i="3"/>
  <c r="B533" i="3" s="1"/>
  <c r="I532" i="3"/>
  <c r="J532" i="3"/>
  <c r="M532" i="3"/>
  <c r="N532" i="3" s="1"/>
  <c r="W532" i="3" l="1"/>
  <c r="L532" i="3"/>
  <c r="P533" i="3"/>
  <c r="Q533" i="3" s="1"/>
  <c r="R533" i="3" s="1"/>
  <c r="S533" i="3" s="1"/>
  <c r="AD533" i="3"/>
  <c r="AA533" i="3"/>
  <c r="Z533" i="3"/>
  <c r="AC533" i="3"/>
  <c r="T533" i="3" l="1"/>
  <c r="U532" i="3"/>
  <c r="Y531" i="3"/>
  <c r="E533" i="3" l="1"/>
  <c r="H533" i="3" s="1"/>
  <c r="K533" i="3" s="1"/>
  <c r="AE533" i="3" s="1"/>
  <c r="AH533" i="3"/>
  <c r="AG533" i="3"/>
  <c r="D533" i="3"/>
  <c r="F533" i="3" l="1"/>
  <c r="G533" i="3"/>
  <c r="V533" i="3"/>
  <c r="A534" i="3"/>
  <c r="B534" i="3" s="1"/>
  <c r="Z534" i="3" l="1"/>
  <c r="AC534" i="3"/>
  <c r="AA534" i="3"/>
  <c r="P534" i="3"/>
  <c r="Q534" i="3" s="1"/>
  <c r="R534" i="3" s="1"/>
  <c r="S534" i="3" s="1"/>
  <c r="I533" i="3"/>
  <c r="W533" i="3" s="1"/>
  <c r="J533" i="3"/>
  <c r="M533" i="3"/>
  <c r="N533" i="3" s="1"/>
  <c r="L533" i="3" l="1"/>
  <c r="T534" i="3"/>
  <c r="U533" i="3" l="1"/>
  <c r="D534" i="3" s="1"/>
  <c r="AG534" i="3"/>
  <c r="AH534" i="3"/>
  <c r="Y532" i="3"/>
  <c r="E534" i="3" l="1"/>
  <c r="H534" i="3" s="1"/>
  <c r="K534" i="3" s="1"/>
  <c r="AE534" i="3" s="1"/>
  <c r="G534" i="3"/>
  <c r="F534" i="3" l="1"/>
  <c r="V534" i="3"/>
  <c r="A535" i="3"/>
  <c r="B535" i="3" s="1"/>
  <c r="I534" i="3"/>
  <c r="J534" i="3"/>
  <c r="AD534" i="3" s="1"/>
  <c r="M534" i="3"/>
  <c r="N534" i="3" s="1"/>
  <c r="W534" i="3" l="1"/>
  <c r="L534" i="3"/>
  <c r="AA535" i="3"/>
  <c r="AC535" i="3"/>
  <c r="AD535" i="3"/>
  <c r="Z535" i="3"/>
  <c r="P535" i="3"/>
  <c r="Q535" i="3" s="1"/>
  <c r="R535" i="3" s="1"/>
  <c r="S535" i="3" s="1"/>
  <c r="T535" i="3" l="1"/>
  <c r="U534" i="3"/>
  <c r="Y533" i="3"/>
  <c r="D535" i="3" l="1"/>
  <c r="G535" i="3" s="1"/>
  <c r="E535" i="3"/>
  <c r="H535" i="3" s="1"/>
  <c r="K535" i="3" s="1"/>
  <c r="AE535" i="3" s="1"/>
  <c r="AG535" i="3"/>
  <c r="AH535" i="3"/>
  <c r="F535" i="3" l="1"/>
  <c r="V535" i="3"/>
  <c r="A536" i="3"/>
  <c r="B536" i="3" s="1"/>
  <c r="I535" i="3"/>
  <c r="J535" i="3"/>
  <c r="M535" i="3"/>
  <c r="N535" i="3" s="1"/>
  <c r="W535" i="3" l="1"/>
  <c r="L535" i="3"/>
  <c r="AC536" i="3"/>
  <c r="AA536" i="3"/>
  <c r="Z536" i="3"/>
  <c r="P536" i="3"/>
  <c r="Q536" i="3" s="1"/>
  <c r="R536" i="3" s="1"/>
  <c r="S536" i="3" s="1"/>
  <c r="AD536" i="3"/>
  <c r="U535" i="3" l="1"/>
  <c r="Y534" i="3"/>
  <c r="T536" i="3"/>
  <c r="AH536" i="3" s="1"/>
  <c r="AG536" i="3" l="1"/>
  <c r="E536" i="3"/>
  <c r="H536" i="3" s="1"/>
  <c r="D536" i="3"/>
  <c r="K536" i="3" l="1"/>
  <c r="AE536" i="3" s="1"/>
  <c r="F536" i="3"/>
  <c r="G536" i="3"/>
  <c r="I536" i="3" l="1"/>
  <c r="J536" i="3"/>
  <c r="M536" i="3"/>
  <c r="N536" i="3" s="1"/>
  <c r="V536" i="3"/>
  <c r="A537" i="3"/>
  <c r="B537" i="3" s="1"/>
  <c r="W536" i="3" l="1"/>
  <c r="L536" i="3"/>
  <c r="AC537" i="3"/>
  <c r="P537" i="3"/>
  <c r="Q537" i="3" s="1"/>
  <c r="R537" i="3" s="1"/>
  <c r="S537" i="3" s="1"/>
  <c r="Z537" i="3"/>
  <c r="AD537" i="3"/>
  <c r="AA537" i="3"/>
  <c r="U536" i="3" l="1"/>
  <c r="Y535" i="3"/>
  <c r="T537" i="3"/>
  <c r="AH537" i="3" s="1"/>
  <c r="AG537" i="3" l="1"/>
  <c r="E537" i="3"/>
  <c r="H537" i="3" s="1"/>
  <c r="D537" i="3"/>
  <c r="K537" i="3" l="1"/>
  <c r="AE537" i="3" s="1"/>
  <c r="F537" i="3"/>
  <c r="G537" i="3"/>
  <c r="I537" i="3" l="1"/>
  <c r="J537" i="3"/>
  <c r="M537" i="3"/>
  <c r="N537" i="3" s="1"/>
  <c r="V537" i="3"/>
  <c r="A538" i="3"/>
  <c r="B538" i="3" s="1"/>
  <c r="W537" i="3" l="1"/>
  <c r="L537" i="3"/>
  <c r="AA538" i="3"/>
  <c r="AC538" i="3"/>
  <c r="AD538" i="3"/>
  <c r="Z538" i="3"/>
  <c r="P538" i="3"/>
  <c r="Q538" i="3" s="1"/>
  <c r="R538" i="3" s="1"/>
  <c r="S538" i="3" s="1"/>
  <c r="T538" i="3" l="1"/>
  <c r="U537" i="3"/>
  <c r="Y536" i="3"/>
  <c r="D538" i="3" l="1"/>
  <c r="G538" i="3" s="1"/>
  <c r="AH538" i="3"/>
  <c r="AG538" i="3"/>
  <c r="E538" i="3"/>
  <c r="H538" i="3" s="1"/>
  <c r="F538" i="3" l="1"/>
  <c r="I538" i="3"/>
  <c r="J538" i="3"/>
  <c r="M538" i="3"/>
  <c r="N538" i="3" s="1"/>
  <c r="K538" i="3"/>
  <c r="AE538" i="3" s="1"/>
  <c r="V538" i="3" l="1"/>
  <c r="W538" i="3" s="1"/>
  <c r="A539" i="3"/>
  <c r="B539" i="3" s="1"/>
  <c r="L538" i="3"/>
  <c r="U538" i="3" l="1"/>
  <c r="Y537" i="3"/>
  <c r="Z539" i="3"/>
  <c r="P539" i="3"/>
  <c r="Q539" i="3" s="1"/>
  <c r="R539" i="3" s="1"/>
  <c r="S539" i="3" s="1"/>
  <c r="AD539" i="3"/>
  <c r="AA539" i="3"/>
  <c r="AC539" i="3"/>
  <c r="T539" i="3" l="1"/>
  <c r="AH539" i="3" s="1"/>
  <c r="AG539" i="3" l="1"/>
  <c r="E539" i="3"/>
  <c r="H539" i="3" s="1"/>
  <c r="K539" i="3" s="1"/>
  <c r="AE539" i="3" s="1"/>
  <c r="D539" i="3"/>
  <c r="G539" i="3" s="1"/>
  <c r="F539" i="3" l="1"/>
  <c r="V539" i="3"/>
  <c r="A540" i="3"/>
  <c r="B540" i="3" s="1"/>
  <c r="I539" i="3"/>
  <c r="J539" i="3"/>
  <c r="M539" i="3"/>
  <c r="N539" i="3" s="1"/>
  <c r="W539" i="3" l="1"/>
  <c r="L539" i="3"/>
  <c r="AA540" i="3"/>
  <c r="AC540" i="3"/>
  <c r="Z540" i="3"/>
  <c r="AD540" i="3"/>
  <c r="P540" i="3"/>
  <c r="Q540" i="3" s="1"/>
  <c r="R540" i="3" s="1"/>
  <c r="S540" i="3" s="1"/>
  <c r="U539" i="3" l="1"/>
  <c r="Y538" i="3"/>
  <c r="T540" i="3"/>
  <c r="AG540" i="3" s="1"/>
  <c r="E540" i="3" l="1"/>
  <c r="H540" i="3" s="1"/>
  <c r="D540" i="3"/>
  <c r="AH540" i="3"/>
  <c r="K540" i="3" l="1"/>
  <c r="AE540" i="3" s="1"/>
  <c r="F540" i="3"/>
  <c r="G540" i="3"/>
  <c r="V540" i="3" l="1"/>
  <c r="A541" i="3"/>
  <c r="B541" i="3" s="1"/>
  <c r="I540" i="3"/>
  <c r="J540" i="3"/>
  <c r="M540" i="3"/>
  <c r="N540" i="3" s="1"/>
  <c r="W540" i="3" l="1"/>
  <c r="L540" i="3"/>
  <c r="P541" i="3"/>
  <c r="Q541" i="3" s="1"/>
  <c r="R541" i="3" s="1"/>
  <c r="S541" i="3" s="1"/>
  <c r="AA541" i="3"/>
  <c r="AD541" i="3"/>
  <c r="Z541" i="3"/>
  <c r="AC541" i="3"/>
  <c r="U540" i="3" l="1"/>
  <c r="Y539" i="3"/>
  <c r="T541" i="3"/>
  <c r="AG541" i="3" s="1"/>
  <c r="AH541" i="3" l="1"/>
  <c r="E541" i="3"/>
  <c r="H541" i="3" s="1"/>
  <c r="D541" i="3"/>
  <c r="K541" i="3" l="1"/>
  <c r="AE541" i="3" s="1"/>
  <c r="F541" i="3"/>
  <c r="G541" i="3"/>
  <c r="I541" i="3" l="1"/>
  <c r="J541" i="3"/>
  <c r="M541" i="3"/>
  <c r="N541" i="3" s="1"/>
  <c r="V541" i="3"/>
  <c r="A542" i="3"/>
  <c r="B542" i="3" s="1"/>
  <c r="W541" i="3" l="1"/>
  <c r="L541" i="3"/>
  <c r="AC542" i="3"/>
  <c r="P542" i="3"/>
  <c r="Q542" i="3" s="1"/>
  <c r="R542" i="3" s="1"/>
  <c r="S542" i="3" s="1"/>
  <c r="AA542" i="3"/>
  <c r="Z542" i="3"/>
  <c r="AD542" i="3"/>
  <c r="T542" i="3" l="1"/>
  <c r="AH542" i="3" s="1"/>
  <c r="U541" i="3"/>
  <c r="Y540" i="3"/>
  <c r="E542" i="3" l="1"/>
  <c r="H542" i="3" s="1"/>
  <c r="K542" i="3" s="1"/>
  <c r="AE542" i="3" s="1"/>
  <c r="AG542" i="3"/>
  <c r="D542" i="3"/>
  <c r="F542" i="3" l="1"/>
  <c r="G542" i="3"/>
  <c r="V542" i="3"/>
  <c r="A543" i="3"/>
  <c r="B543" i="3" s="1"/>
  <c r="P543" i="3" l="1"/>
  <c r="Q543" i="3" s="1"/>
  <c r="R543" i="3" s="1"/>
  <c r="S543" i="3" s="1"/>
  <c r="AD543" i="3"/>
  <c r="Z543" i="3"/>
  <c r="AA543" i="3"/>
  <c r="AC543" i="3"/>
  <c r="I542" i="3"/>
  <c r="W542" i="3" s="1"/>
  <c r="J542" i="3"/>
  <c r="M542" i="3"/>
  <c r="N542" i="3" s="1"/>
  <c r="T543" i="3" l="1"/>
  <c r="L542" i="3"/>
  <c r="AH543" i="3" l="1"/>
  <c r="U542" i="3"/>
  <c r="E543" i="3" s="1"/>
  <c r="H543" i="3" s="1"/>
  <c r="AG543" i="3"/>
  <c r="Y541" i="3"/>
  <c r="D543" i="3" l="1"/>
  <c r="G543" i="3" s="1"/>
  <c r="K543" i="3"/>
  <c r="AE543" i="3" s="1"/>
  <c r="F543" i="3" l="1"/>
  <c r="I543" i="3"/>
  <c r="J543" i="3"/>
  <c r="M543" i="3"/>
  <c r="N543" i="3" s="1"/>
  <c r="V543" i="3"/>
  <c r="A544" i="3"/>
  <c r="B544" i="3" s="1"/>
  <c r="W543" i="3" l="1"/>
  <c r="L543" i="3"/>
  <c r="P544" i="3"/>
  <c r="Q544" i="3" s="1"/>
  <c r="R544" i="3" s="1"/>
  <c r="S544" i="3" s="1"/>
  <c r="Z544" i="3"/>
  <c r="AC544" i="3"/>
  <c r="AA544" i="3"/>
  <c r="U543" i="3" l="1"/>
  <c r="Y542" i="3"/>
  <c r="T544" i="3"/>
  <c r="AG544" i="3" s="1"/>
  <c r="E544" i="3" l="1"/>
  <c r="H544" i="3" s="1"/>
  <c r="D544" i="3"/>
  <c r="AH544" i="3"/>
  <c r="K544" i="3" l="1"/>
  <c r="AE544" i="3" s="1"/>
  <c r="F544" i="3"/>
  <c r="G544" i="3"/>
  <c r="I544" i="3" l="1"/>
  <c r="J544" i="3"/>
  <c r="AD544" i="3" s="1"/>
  <c r="M544" i="3"/>
  <c r="N544" i="3" s="1"/>
  <c r="V544" i="3"/>
  <c r="A545" i="3"/>
  <c r="B545" i="3" s="1"/>
  <c r="W544" i="3" l="1"/>
  <c r="L544" i="3"/>
  <c r="Z545" i="3"/>
  <c r="AA545" i="3"/>
  <c r="AD545" i="3"/>
  <c r="AC545" i="3"/>
  <c r="P545" i="3"/>
  <c r="Q545" i="3" s="1"/>
  <c r="R545" i="3" s="1"/>
  <c r="S545" i="3" s="1"/>
  <c r="U544" i="3" l="1"/>
  <c r="Y543" i="3"/>
  <c r="T545" i="3"/>
  <c r="AH545" i="3" s="1"/>
  <c r="E545" i="3" l="1"/>
  <c r="H545" i="3" s="1"/>
  <c r="K545" i="3" s="1"/>
  <c r="AE545" i="3" s="1"/>
  <c r="D545" i="3"/>
  <c r="AG545" i="3"/>
  <c r="V545" i="3" l="1"/>
  <c r="A546" i="3"/>
  <c r="B546" i="3" s="1"/>
  <c r="F545" i="3"/>
  <c r="G545" i="3"/>
  <c r="I545" i="3" l="1"/>
  <c r="W545" i="3" s="1"/>
  <c r="J545" i="3"/>
  <c r="M545" i="3"/>
  <c r="N545" i="3" s="1"/>
  <c r="AC546" i="3"/>
  <c r="P546" i="3"/>
  <c r="Q546" i="3" s="1"/>
  <c r="R546" i="3" s="1"/>
  <c r="S546" i="3" s="1"/>
  <c r="Z546" i="3"/>
  <c r="AA546" i="3"/>
  <c r="AD546" i="3"/>
  <c r="T546" i="3" l="1"/>
  <c r="L545" i="3"/>
  <c r="U545" i="3" l="1"/>
  <c r="D546" i="3" s="1"/>
  <c r="AG546" i="3"/>
  <c r="AH546" i="3"/>
  <c r="Y544" i="3"/>
  <c r="E546" i="3" l="1"/>
  <c r="H546" i="3" s="1"/>
  <c r="K546" i="3" s="1"/>
  <c r="AE546" i="3" s="1"/>
  <c r="G546" i="3"/>
  <c r="F546" i="3" l="1"/>
  <c r="V546" i="3"/>
  <c r="A547" i="3"/>
  <c r="B547" i="3" s="1"/>
  <c r="I546" i="3"/>
  <c r="J546" i="3"/>
  <c r="M546" i="3"/>
  <c r="N546" i="3" s="1"/>
  <c r="W546" i="3" l="1"/>
  <c r="L546" i="3"/>
  <c r="AC547" i="3"/>
  <c r="AD547" i="3"/>
  <c r="P547" i="3"/>
  <c r="Q547" i="3" s="1"/>
  <c r="R547" i="3" s="1"/>
  <c r="S547" i="3" s="1"/>
  <c r="AA547" i="3"/>
  <c r="Z547" i="3"/>
  <c r="U546" i="3" l="1"/>
  <c r="Y545" i="3"/>
  <c r="T547" i="3"/>
  <c r="AG547" i="3" s="1"/>
  <c r="E547" i="3" l="1"/>
  <c r="H547" i="3" s="1"/>
  <c r="K547" i="3" s="1"/>
  <c r="AE547" i="3" s="1"/>
  <c r="D547" i="3"/>
  <c r="G547" i="3" s="1"/>
  <c r="AH547" i="3"/>
  <c r="F547" i="3" l="1"/>
  <c r="I547" i="3"/>
  <c r="J547" i="3"/>
  <c r="M547" i="3"/>
  <c r="N547" i="3" s="1"/>
  <c r="V547" i="3"/>
  <c r="A548" i="3"/>
  <c r="B548" i="3" s="1"/>
  <c r="W547" i="3" l="1"/>
  <c r="L547" i="3"/>
  <c r="Z548" i="3"/>
  <c r="AA548" i="3"/>
  <c r="P548" i="3"/>
  <c r="Q548" i="3" s="1"/>
  <c r="R548" i="3" s="1"/>
  <c r="S548" i="3" s="1"/>
  <c r="AC548" i="3"/>
  <c r="AD548" i="3"/>
  <c r="U547" i="3" l="1"/>
  <c r="Y546" i="3"/>
  <c r="T548" i="3"/>
  <c r="E548" i="3" l="1"/>
  <c r="H548" i="3" s="1"/>
  <c r="K548" i="3" s="1"/>
  <c r="AE548" i="3" s="1"/>
  <c r="D548" i="3"/>
  <c r="AG548" i="3"/>
  <c r="AH548" i="3"/>
  <c r="V548" i="3" l="1"/>
  <c r="A549" i="3"/>
  <c r="B549" i="3" s="1"/>
  <c r="F548" i="3"/>
  <c r="G548" i="3"/>
  <c r="I548" i="3" l="1"/>
  <c r="W548" i="3" s="1"/>
  <c r="J548" i="3"/>
  <c r="M548" i="3"/>
  <c r="N548" i="3" s="1"/>
  <c r="P549" i="3"/>
  <c r="Q549" i="3" s="1"/>
  <c r="R549" i="3" s="1"/>
  <c r="S549" i="3" s="1"/>
  <c r="AC549" i="3"/>
  <c r="AA549" i="3"/>
  <c r="Z549" i="3"/>
  <c r="AD549" i="3"/>
  <c r="T549" i="3" l="1"/>
  <c r="L548" i="3"/>
  <c r="AH549" i="3" l="1"/>
  <c r="U548" i="3"/>
  <c r="E549" i="3" s="1"/>
  <c r="H549" i="3" s="1"/>
  <c r="AG549" i="3"/>
  <c r="Y547" i="3"/>
  <c r="K549" i="3" l="1"/>
  <c r="AE549" i="3" s="1"/>
  <c r="D549" i="3"/>
  <c r="V549" i="3" l="1"/>
  <c r="A550" i="3"/>
  <c r="B550" i="3" s="1"/>
  <c r="F549" i="3"/>
  <c r="G549" i="3"/>
  <c r="I549" i="3" l="1"/>
  <c r="W549" i="3" s="1"/>
  <c r="J549" i="3"/>
  <c r="M549" i="3"/>
  <c r="N549" i="3" s="1"/>
  <c r="P550" i="3"/>
  <c r="Q550" i="3" s="1"/>
  <c r="R550" i="3" s="1"/>
  <c r="S550" i="3" s="1"/>
  <c r="AA550" i="3"/>
  <c r="AC550" i="3"/>
  <c r="Z550" i="3"/>
  <c r="AD550" i="3"/>
  <c r="T550" i="3" l="1"/>
  <c r="L549" i="3"/>
  <c r="U549" i="3" l="1"/>
  <c r="D550" i="3" s="1"/>
  <c r="AH550" i="3"/>
  <c r="AG550" i="3"/>
  <c r="Y548" i="3"/>
  <c r="E550" i="3" l="1"/>
  <c r="H550" i="3" s="1"/>
  <c r="K550" i="3" s="1"/>
  <c r="AE550" i="3" s="1"/>
  <c r="G550" i="3"/>
  <c r="F550" i="3" l="1"/>
  <c r="I550" i="3"/>
  <c r="J550" i="3"/>
  <c r="M550" i="3"/>
  <c r="N550" i="3" s="1"/>
  <c r="V550" i="3"/>
  <c r="A551" i="3"/>
  <c r="B551" i="3" s="1"/>
  <c r="W550" i="3" l="1"/>
  <c r="L550" i="3"/>
  <c r="AD551" i="3"/>
  <c r="P551" i="3"/>
  <c r="Q551" i="3" s="1"/>
  <c r="R551" i="3" s="1"/>
  <c r="S551" i="3" s="1"/>
  <c r="AC551" i="3"/>
  <c r="AA551" i="3"/>
  <c r="Z551" i="3"/>
  <c r="T551" i="3" l="1"/>
  <c r="AG551" i="3" s="1"/>
  <c r="U550" i="3"/>
  <c r="Y549" i="3"/>
  <c r="D551" i="3" l="1"/>
  <c r="G551" i="3" s="1"/>
  <c r="AH551" i="3"/>
  <c r="E551" i="3"/>
  <c r="H551" i="3" s="1"/>
  <c r="F551" i="3" l="1"/>
  <c r="I551" i="3"/>
  <c r="J551" i="3"/>
  <c r="M551" i="3"/>
  <c r="N551" i="3" s="1"/>
  <c r="K551" i="3"/>
  <c r="AE551" i="3" s="1"/>
  <c r="V551" i="3" l="1"/>
  <c r="W551" i="3" s="1"/>
  <c r="A552" i="3"/>
  <c r="B552" i="3" s="1"/>
  <c r="L551" i="3"/>
  <c r="U551" i="3" l="1"/>
  <c r="Y550" i="3"/>
  <c r="AA552" i="3"/>
  <c r="P552" i="3"/>
  <c r="Q552" i="3" s="1"/>
  <c r="R552" i="3" s="1"/>
  <c r="S552" i="3" s="1"/>
  <c r="AC552" i="3"/>
  <c r="Z552" i="3"/>
  <c r="AD552" i="3"/>
  <c r="T552" i="3" l="1"/>
  <c r="D552" i="3" s="1"/>
  <c r="AG552" i="3" l="1"/>
  <c r="AH552" i="3"/>
  <c r="E552" i="3"/>
  <c r="H552" i="3" s="1"/>
  <c r="K552" i="3" s="1"/>
  <c r="AE552" i="3" s="1"/>
  <c r="G552" i="3"/>
  <c r="F552" i="3" l="1"/>
  <c r="I552" i="3"/>
  <c r="J552" i="3"/>
  <c r="M552" i="3"/>
  <c r="N552" i="3" s="1"/>
  <c r="V552" i="3"/>
  <c r="A553" i="3"/>
  <c r="B553" i="3" s="1"/>
  <c r="W552" i="3" l="1"/>
  <c r="L552" i="3"/>
  <c r="P553" i="3"/>
  <c r="Q553" i="3" s="1"/>
  <c r="R553" i="3" s="1"/>
  <c r="S553" i="3" s="1"/>
  <c r="Z553" i="3"/>
  <c r="AC553" i="3"/>
  <c r="AA553" i="3"/>
  <c r="AD553" i="3"/>
  <c r="T553" i="3" l="1"/>
  <c r="U552" i="3"/>
  <c r="Y551" i="3"/>
  <c r="D553" i="3" l="1"/>
  <c r="G553" i="3" s="1"/>
  <c r="AH553" i="3"/>
  <c r="AG553" i="3"/>
  <c r="E553" i="3"/>
  <c r="H553" i="3" s="1"/>
  <c r="K553" i="3" l="1"/>
  <c r="AE553" i="3" s="1"/>
  <c r="F553" i="3"/>
  <c r="I553" i="3"/>
  <c r="J553" i="3"/>
  <c r="M553" i="3"/>
  <c r="N553" i="3" s="1"/>
  <c r="V553" i="3" l="1"/>
  <c r="W553" i="3" s="1"/>
  <c r="A554" i="3"/>
  <c r="B554" i="3" s="1"/>
  <c r="L553" i="3"/>
  <c r="U553" i="3" l="1"/>
  <c r="Y552" i="3"/>
  <c r="AA554" i="3"/>
  <c r="AC554" i="3"/>
  <c r="P554" i="3"/>
  <c r="Q554" i="3" s="1"/>
  <c r="R554" i="3" s="1"/>
  <c r="S554" i="3" s="1"/>
  <c r="Z554" i="3"/>
  <c r="T554" i="3" l="1"/>
  <c r="AH554" i="3" s="1"/>
  <c r="E554" i="3" l="1"/>
  <c r="H554" i="3" s="1"/>
  <c r="K554" i="3" s="1"/>
  <c r="AE554" i="3" s="1"/>
  <c r="AG554" i="3"/>
  <c r="D554" i="3"/>
  <c r="V554" i="3" l="1"/>
  <c r="A555" i="3"/>
  <c r="B555" i="3" s="1"/>
  <c r="F554" i="3"/>
  <c r="G554" i="3"/>
  <c r="I554" i="3" l="1"/>
  <c r="W554" i="3" s="1"/>
  <c r="J554" i="3"/>
  <c r="AD554" i="3" s="1"/>
  <c r="M554" i="3"/>
  <c r="N554" i="3" s="1"/>
  <c r="AA555" i="3"/>
  <c r="Z555" i="3"/>
  <c r="AC555" i="3"/>
  <c r="P555" i="3"/>
  <c r="Q555" i="3" s="1"/>
  <c r="R555" i="3" s="1"/>
  <c r="S555" i="3" s="1"/>
  <c r="AD555" i="3"/>
  <c r="L554" i="3" l="1"/>
  <c r="T555" i="3"/>
  <c r="U554" i="3" l="1"/>
  <c r="E555" i="3" s="1"/>
  <c r="H555" i="3" s="1"/>
  <c r="AG555" i="3"/>
  <c r="AH555" i="3"/>
  <c r="Y553" i="3"/>
  <c r="K555" i="3" l="1"/>
  <c r="AE555" i="3" s="1"/>
  <c r="D555" i="3"/>
  <c r="F555" i="3" l="1"/>
  <c r="G555" i="3"/>
  <c r="V555" i="3"/>
  <c r="A556" i="3"/>
  <c r="B556" i="3" s="1"/>
  <c r="P556" i="3" l="1"/>
  <c r="Q556" i="3" s="1"/>
  <c r="R556" i="3" s="1"/>
  <c r="S556" i="3" s="1"/>
  <c r="AA556" i="3"/>
  <c r="AD556" i="3"/>
  <c r="Z556" i="3"/>
  <c r="AC556" i="3"/>
  <c r="I555" i="3"/>
  <c r="W555" i="3" s="1"/>
  <c r="J555" i="3"/>
  <c r="M555" i="3"/>
  <c r="N555" i="3" s="1"/>
  <c r="T556" i="3" l="1"/>
  <c r="L555" i="3"/>
  <c r="AH556" i="3" l="1"/>
  <c r="U555" i="3"/>
  <c r="D556" i="3" s="1"/>
  <c r="AG556" i="3"/>
  <c r="Y554" i="3"/>
  <c r="E556" i="3" l="1"/>
  <c r="H556" i="3" s="1"/>
  <c r="K556" i="3" s="1"/>
  <c r="AE556" i="3" s="1"/>
  <c r="G556" i="3"/>
  <c r="F556" i="3" l="1"/>
  <c r="I556" i="3"/>
  <c r="J556" i="3"/>
  <c r="M556" i="3"/>
  <c r="N556" i="3" s="1"/>
  <c r="V556" i="3"/>
  <c r="A557" i="3"/>
  <c r="B557" i="3" s="1"/>
  <c r="W556" i="3" l="1"/>
  <c r="L556" i="3"/>
  <c r="AD557" i="3"/>
  <c r="P557" i="3"/>
  <c r="Q557" i="3" s="1"/>
  <c r="R557" i="3" s="1"/>
  <c r="S557" i="3" s="1"/>
  <c r="AA557" i="3"/>
  <c r="AC557" i="3"/>
  <c r="Z557" i="3"/>
  <c r="U556" i="3" l="1"/>
  <c r="Y555" i="3"/>
  <c r="T557" i="3"/>
  <c r="AH557" i="3" s="1"/>
  <c r="D557" i="3" l="1"/>
  <c r="G557" i="3" s="1"/>
  <c r="AG557" i="3"/>
  <c r="E557" i="3"/>
  <c r="H557" i="3" s="1"/>
  <c r="K557" i="3" s="1"/>
  <c r="AE557" i="3" s="1"/>
  <c r="F557" i="3" l="1"/>
  <c r="I557" i="3"/>
  <c r="J557" i="3"/>
  <c r="M557" i="3"/>
  <c r="N557" i="3" s="1"/>
  <c r="V557" i="3"/>
  <c r="A558" i="3"/>
  <c r="B558" i="3" s="1"/>
  <c r="W557" i="3" l="1"/>
  <c r="L557" i="3"/>
  <c r="AA558" i="3"/>
  <c r="AD558" i="3"/>
  <c r="P558" i="3"/>
  <c r="Q558" i="3" s="1"/>
  <c r="R558" i="3" s="1"/>
  <c r="S558" i="3" s="1"/>
  <c r="Z558" i="3"/>
  <c r="AC558" i="3"/>
  <c r="T558" i="3" l="1"/>
  <c r="AG558" i="3" s="1"/>
  <c r="U557" i="3"/>
  <c r="Y556" i="3"/>
  <c r="E558" i="3" l="1"/>
  <c r="H558" i="3" s="1"/>
  <c r="AH558" i="3"/>
  <c r="D558" i="3"/>
  <c r="F558" i="3" l="1"/>
  <c r="G558" i="3"/>
  <c r="K558" i="3"/>
  <c r="AE558" i="3" s="1"/>
  <c r="I558" i="3" l="1"/>
  <c r="J558" i="3"/>
  <c r="M558" i="3"/>
  <c r="N558" i="3" s="1"/>
  <c r="V558" i="3"/>
  <c r="A559" i="3"/>
  <c r="B559" i="3" s="1"/>
  <c r="W558" i="3" l="1"/>
  <c r="L558" i="3"/>
  <c r="AC559" i="3"/>
  <c r="P559" i="3"/>
  <c r="Q559" i="3" s="1"/>
  <c r="R559" i="3" s="1"/>
  <c r="S559" i="3" s="1"/>
  <c r="AA559" i="3"/>
  <c r="Z559" i="3"/>
  <c r="AD559" i="3"/>
  <c r="T559" i="3" l="1"/>
  <c r="U558" i="3"/>
  <c r="Y557" i="3"/>
  <c r="E559" i="3" l="1"/>
  <c r="H559" i="3" s="1"/>
  <c r="K559" i="3" s="1"/>
  <c r="AE559" i="3" s="1"/>
  <c r="AH559" i="3"/>
  <c r="AG559" i="3"/>
  <c r="D559" i="3"/>
  <c r="V559" i="3" l="1"/>
  <c r="A560" i="3"/>
  <c r="B560" i="3" s="1"/>
  <c r="F559" i="3"/>
  <c r="G559" i="3"/>
  <c r="I559" i="3" l="1"/>
  <c r="W559" i="3" s="1"/>
  <c r="J559" i="3"/>
  <c r="M559" i="3"/>
  <c r="N559" i="3" s="1"/>
  <c r="AD560" i="3"/>
  <c r="Z560" i="3"/>
  <c r="AC560" i="3"/>
  <c r="AA560" i="3"/>
  <c r="P560" i="3"/>
  <c r="Q560" i="3" s="1"/>
  <c r="R560" i="3" s="1"/>
  <c r="S560" i="3" s="1"/>
  <c r="T560" i="3" l="1"/>
  <c r="L559" i="3"/>
  <c r="AG560" i="3" l="1"/>
  <c r="U559" i="3"/>
  <c r="D560" i="3" s="1"/>
  <c r="AH560" i="3"/>
  <c r="Y558" i="3"/>
  <c r="E560" i="3" l="1"/>
  <c r="H560" i="3" s="1"/>
  <c r="K560" i="3" s="1"/>
  <c r="AE560" i="3" s="1"/>
  <c r="G560" i="3"/>
  <c r="F560" i="3" l="1"/>
  <c r="V560" i="3"/>
  <c r="A561" i="3"/>
  <c r="B561" i="3" s="1"/>
  <c r="I560" i="3"/>
  <c r="J560" i="3"/>
  <c r="M560" i="3"/>
  <c r="N560" i="3" s="1"/>
  <c r="W560" i="3" l="1"/>
  <c r="L560" i="3"/>
  <c r="AA561" i="3"/>
  <c r="P561" i="3"/>
  <c r="Q561" i="3" s="1"/>
  <c r="R561" i="3" s="1"/>
  <c r="S561" i="3" s="1"/>
  <c r="Z561" i="3"/>
  <c r="AD561" i="3"/>
  <c r="AC561" i="3"/>
  <c r="U560" i="3" l="1"/>
  <c r="Y559" i="3"/>
  <c r="T561" i="3"/>
  <c r="E561" i="3" l="1"/>
  <c r="H561" i="3" s="1"/>
  <c r="K561" i="3" s="1"/>
  <c r="AE561" i="3" s="1"/>
  <c r="D561" i="3"/>
  <c r="AH561" i="3"/>
  <c r="AG561" i="3"/>
  <c r="F561" i="3" l="1"/>
  <c r="G561" i="3"/>
  <c r="M561" i="3" s="1"/>
  <c r="N561" i="3" s="1"/>
  <c r="V561" i="3"/>
  <c r="A562" i="3"/>
  <c r="B562" i="3" s="1"/>
  <c r="I561" i="3" l="1"/>
  <c r="W561" i="3" s="1"/>
  <c r="J561" i="3"/>
  <c r="L561" i="3" s="1"/>
  <c r="Z562" i="3"/>
  <c r="AA562" i="3"/>
  <c r="AD562" i="3"/>
  <c r="P562" i="3"/>
  <c r="Q562" i="3" s="1"/>
  <c r="R562" i="3" s="1"/>
  <c r="S562" i="3" s="1"/>
  <c r="AC562" i="3"/>
  <c r="U561" i="3" l="1"/>
  <c r="Y560" i="3"/>
  <c r="T562" i="3"/>
  <c r="AH562" i="3" s="1"/>
  <c r="AG562" i="3" l="1"/>
  <c r="E562" i="3"/>
  <c r="H562" i="3" s="1"/>
  <c r="K562" i="3" s="1"/>
  <c r="AE562" i="3" s="1"/>
  <c r="D562" i="3"/>
  <c r="F562" i="3" l="1"/>
  <c r="G562" i="3"/>
  <c r="J562" i="3" s="1"/>
  <c r="V562" i="3"/>
  <c r="A563" i="3"/>
  <c r="B563" i="3" s="1"/>
  <c r="M562" i="3" l="1"/>
  <c r="N562" i="3" s="1"/>
  <c r="I562" i="3"/>
  <c r="W562" i="3" s="1"/>
  <c r="L562" i="3"/>
  <c r="Z563" i="3"/>
  <c r="P563" i="3"/>
  <c r="Q563" i="3" s="1"/>
  <c r="R563" i="3" s="1"/>
  <c r="S563" i="3" s="1"/>
  <c r="AC563" i="3"/>
  <c r="AA563" i="3"/>
  <c r="AD563" i="3"/>
  <c r="U562" i="3" l="1"/>
  <c r="Y561" i="3"/>
  <c r="T563" i="3"/>
  <c r="AH563" i="3" s="1"/>
  <c r="AG563" i="3" l="1"/>
  <c r="D563" i="3"/>
  <c r="E563" i="3"/>
  <c r="H563" i="3" s="1"/>
  <c r="K563" i="3" s="1"/>
  <c r="AE563" i="3" s="1"/>
  <c r="F563" i="3" l="1"/>
  <c r="G563" i="3"/>
  <c r="M563" i="3" s="1"/>
  <c r="N563" i="3" s="1"/>
  <c r="V563" i="3"/>
  <c r="A564" i="3"/>
  <c r="B564" i="3" s="1"/>
  <c r="I563" i="3" l="1"/>
  <c r="W563" i="3" s="1"/>
  <c r="J563" i="3"/>
  <c r="L563" i="3" s="1"/>
  <c r="Z564" i="3"/>
  <c r="P564" i="3"/>
  <c r="Q564" i="3" s="1"/>
  <c r="R564" i="3" s="1"/>
  <c r="S564" i="3" s="1"/>
  <c r="AC564" i="3"/>
  <c r="AA564" i="3"/>
  <c r="U563" i="3" l="1"/>
  <c r="Y562" i="3"/>
  <c r="T564" i="3"/>
  <c r="AH564" i="3" s="1"/>
  <c r="D564" i="3" l="1"/>
  <c r="E564" i="3"/>
  <c r="H564" i="3" s="1"/>
  <c r="AG564" i="3"/>
  <c r="K564" i="3" l="1"/>
  <c r="AE564" i="3" s="1"/>
  <c r="F564" i="3"/>
  <c r="G564" i="3"/>
  <c r="V564" i="3" l="1"/>
  <c r="A565" i="3"/>
  <c r="B565" i="3" s="1"/>
  <c r="I564" i="3"/>
  <c r="J564" i="3"/>
  <c r="AD564" i="3" s="1"/>
  <c r="M564" i="3"/>
  <c r="N564" i="3" s="1"/>
  <c r="W564" i="3" l="1"/>
  <c r="L564" i="3"/>
  <c r="Z565" i="3"/>
  <c r="AC565" i="3"/>
  <c r="P565" i="3"/>
  <c r="Q565" i="3" s="1"/>
  <c r="R565" i="3" s="1"/>
  <c r="S565" i="3" s="1"/>
  <c r="AA565" i="3"/>
  <c r="AD565" i="3"/>
  <c r="U564" i="3" l="1"/>
  <c r="Y563" i="3"/>
  <c r="T565" i="3"/>
  <c r="E565" i="3" l="1"/>
  <c r="H565" i="3" s="1"/>
  <c r="K565" i="3" s="1"/>
  <c r="AE565" i="3" s="1"/>
  <c r="D565" i="3"/>
  <c r="AG565" i="3"/>
  <c r="AH565" i="3"/>
  <c r="V565" i="3" l="1"/>
  <c r="A566" i="3"/>
  <c r="B566" i="3" s="1"/>
  <c r="F565" i="3"/>
  <c r="G565" i="3"/>
  <c r="I565" i="3" l="1"/>
  <c r="W565" i="3" s="1"/>
  <c r="J565" i="3"/>
  <c r="M565" i="3"/>
  <c r="N565" i="3" s="1"/>
  <c r="AD566" i="3"/>
  <c r="Z566" i="3"/>
  <c r="AA566" i="3"/>
  <c r="P566" i="3"/>
  <c r="Q566" i="3" s="1"/>
  <c r="R566" i="3" s="1"/>
  <c r="S566" i="3" s="1"/>
  <c r="AC566" i="3"/>
  <c r="L565" i="3" l="1"/>
  <c r="T566" i="3"/>
  <c r="AG566" i="3" l="1"/>
  <c r="AH566" i="3"/>
  <c r="U565" i="3"/>
  <c r="D566" i="3" s="1"/>
  <c r="Y564" i="3"/>
  <c r="G566" i="3" l="1"/>
  <c r="E566" i="3"/>
  <c r="H566" i="3" s="1"/>
  <c r="F566" i="3" l="1"/>
  <c r="I566" i="3"/>
  <c r="J566" i="3"/>
  <c r="M566" i="3"/>
  <c r="N566" i="3" s="1"/>
  <c r="K566" i="3"/>
  <c r="AE566" i="3" s="1"/>
  <c r="V566" i="3" l="1"/>
  <c r="W566" i="3" s="1"/>
  <c r="A567" i="3"/>
  <c r="B567" i="3" s="1"/>
  <c r="L566" i="3"/>
  <c r="U566" i="3" l="1"/>
  <c r="Y565" i="3"/>
  <c r="P567" i="3"/>
  <c r="Q567" i="3" s="1"/>
  <c r="R567" i="3" s="1"/>
  <c r="S567" i="3" s="1"/>
  <c r="AA567" i="3"/>
  <c r="AD567" i="3"/>
  <c r="Z567" i="3"/>
  <c r="AC567" i="3"/>
  <c r="T567" i="3" l="1"/>
  <c r="AG567" i="3" s="1"/>
  <c r="AH567" i="3" l="1"/>
  <c r="E567" i="3"/>
  <c r="H567" i="3" s="1"/>
  <c r="K567" i="3" s="1"/>
  <c r="AE567" i="3" s="1"/>
  <c r="D567" i="3"/>
  <c r="G567" i="3" s="1"/>
  <c r="F567" i="3" l="1"/>
  <c r="I567" i="3"/>
  <c r="J567" i="3"/>
  <c r="M567" i="3"/>
  <c r="N567" i="3" s="1"/>
  <c r="V567" i="3"/>
  <c r="A568" i="3"/>
  <c r="B568" i="3" s="1"/>
  <c r="W567" i="3" l="1"/>
  <c r="L567" i="3"/>
  <c r="AC568" i="3"/>
  <c r="AD568" i="3"/>
  <c r="P568" i="3"/>
  <c r="Q568" i="3" s="1"/>
  <c r="R568" i="3" s="1"/>
  <c r="S568" i="3" s="1"/>
  <c r="AA568" i="3"/>
  <c r="Z568" i="3"/>
  <c r="U567" i="3" l="1"/>
  <c r="Y566" i="3"/>
  <c r="T568" i="3"/>
  <c r="AG568" i="3" s="1"/>
  <c r="D568" i="3" l="1"/>
  <c r="G568" i="3" s="1"/>
  <c r="E568" i="3"/>
  <c r="H568" i="3" s="1"/>
  <c r="K568" i="3" s="1"/>
  <c r="AE568" i="3" s="1"/>
  <c r="AH568" i="3"/>
  <c r="F568" i="3" l="1"/>
  <c r="V568" i="3"/>
  <c r="A569" i="3"/>
  <c r="B569" i="3" s="1"/>
  <c r="I568" i="3"/>
  <c r="J568" i="3"/>
  <c r="M568" i="3"/>
  <c r="N568" i="3" s="1"/>
  <c r="L568" i="3" l="1"/>
  <c r="W568" i="3"/>
  <c r="AA569" i="3"/>
  <c r="AD569" i="3"/>
  <c r="P569" i="3"/>
  <c r="Q569" i="3" s="1"/>
  <c r="R569" i="3" s="1"/>
  <c r="S569" i="3" s="1"/>
  <c r="AC569" i="3"/>
  <c r="Z569" i="3"/>
  <c r="T569" i="3" l="1"/>
  <c r="AH569" i="3" s="1"/>
  <c r="U568" i="3"/>
  <c r="Y567" i="3"/>
  <c r="D569" i="3" l="1"/>
  <c r="G569" i="3" s="1"/>
  <c r="AG569" i="3"/>
  <c r="E569" i="3"/>
  <c r="H569" i="3" s="1"/>
  <c r="F569" i="3" l="1"/>
  <c r="I569" i="3"/>
  <c r="J569" i="3"/>
  <c r="M569" i="3"/>
  <c r="N569" i="3" s="1"/>
  <c r="K569" i="3"/>
  <c r="AE569" i="3" s="1"/>
  <c r="L569" i="3" l="1"/>
  <c r="V569" i="3"/>
  <c r="W569" i="3" s="1"/>
  <c r="A570" i="3"/>
  <c r="B570" i="3" s="1"/>
  <c r="AC570" i="3" l="1"/>
  <c r="P570" i="3"/>
  <c r="Q570" i="3" s="1"/>
  <c r="R570" i="3" s="1"/>
  <c r="S570" i="3" s="1"/>
  <c r="AD570" i="3"/>
  <c r="Z570" i="3"/>
  <c r="AA570" i="3"/>
  <c r="U569" i="3"/>
  <c r="Y568" i="3"/>
  <c r="T570" i="3" l="1"/>
  <c r="D570" i="3" l="1"/>
  <c r="E570" i="3"/>
  <c r="H570" i="3" s="1"/>
  <c r="AG570" i="3"/>
  <c r="AH570" i="3"/>
  <c r="F570" i="3" l="1"/>
  <c r="G570" i="3"/>
  <c r="K570" i="3"/>
  <c r="AE570" i="3" s="1"/>
  <c r="V570" i="3" l="1"/>
  <c r="A571" i="3"/>
  <c r="B571" i="3" s="1"/>
  <c r="I570" i="3"/>
  <c r="J570" i="3"/>
  <c r="M570" i="3"/>
  <c r="N570" i="3" s="1"/>
  <c r="W570" i="3" l="1"/>
  <c r="L570" i="3"/>
  <c r="P571" i="3"/>
  <c r="Q571" i="3" s="1"/>
  <c r="R571" i="3" s="1"/>
  <c r="S571" i="3" s="1"/>
  <c r="AD571" i="3"/>
  <c r="AA571" i="3"/>
  <c r="Z571" i="3"/>
  <c r="AC571" i="3"/>
  <c r="U570" i="3" l="1"/>
  <c r="Y569" i="3"/>
  <c r="T571" i="3"/>
  <c r="D571" i="3" l="1"/>
  <c r="G571" i="3" s="1"/>
  <c r="AG571" i="3"/>
  <c r="AH571" i="3"/>
  <c r="E571" i="3"/>
  <c r="H571" i="3" s="1"/>
  <c r="K571" i="3" s="1"/>
  <c r="AE571" i="3" s="1"/>
  <c r="F571" i="3" l="1"/>
  <c r="V571" i="3"/>
  <c r="A572" i="3"/>
  <c r="B572" i="3" s="1"/>
  <c r="I571" i="3"/>
  <c r="J571" i="3"/>
  <c r="M571" i="3"/>
  <c r="N571" i="3" s="1"/>
  <c r="W571" i="3" l="1"/>
  <c r="L571" i="3"/>
  <c r="AC572" i="3"/>
  <c r="AD572" i="3"/>
  <c r="P572" i="3"/>
  <c r="Q572" i="3" s="1"/>
  <c r="R572" i="3" s="1"/>
  <c r="S572" i="3" s="1"/>
  <c r="AA572" i="3"/>
  <c r="Z572" i="3"/>
  <c r="T572" i="3" l="1"/>
  <c r="AH572" i="3" s="1"/>
  <c r="U571" i="3"/>
  <c r="Y570" i="3"/>
  <c r="E572" i="3" l="1"/>
  <c r="H572" i="3" s="1"/>
  <c r="AG572" i="3"/>
  <c r="D572" i="3"/>
  <c r="F572" i="3" l="1"/>
  <c r="G572" i="3"/>
  <c r="K572" i="3"/>
  <c r="AE572" i="3" s="1"/>
  <c r="V572" i="3" l="1"/>
  <c r="A573" i="3"/>
  <c r="B573" i="3" s="1"/>
  <c r="I572" i="3"/>
  <c r="J572" i="3"/>
  <c r="M572" i="3"/>
  <c r="N572" i="3" s="1"/>
  <c r="W572" i="3" l="1"/>
  <c r="L572" i="3"/>
  <c r="P573" i="3"/>
  <c r="Q573" i="3" s="1"/>
  <c r="R573" i="3" s="1"/>
  <c r="S573" i="3" s="1"/>
  <c r="Z573" i="3"/>
  <c r="AC573" i="3"/>
  <c r="AA573" i="3"/>
  <c r="AD573" i="3"/>
  <c r="U572" i="3" l="1"/>
  <c r="Y571" i="3"/>
  <c r="T573" i="3"/>
  <c r="E573" i="3" l="1"/>
  <c r="H573" i="3" s="1"/>
  <c r="K573" i="3" s="1"/>
  <c r="AE573" i="3" s="1"/>
  <c r="D573" i="3"/>
  <c r="AH573" i="3"/>
  <c r="AG573" i="3"/>
  <c r="F573" i="3" l="1"/>
  <c r="G573" i="3"/>
  <c r="I573" i="3" s="1"/>
  <c r="V573" i="3"/>
  <c r="A574" i="3"/>
  <c r="B574" i="3" s="1"/>
  <c r="J573" i="3" l="1"/>
  <c r="L573" i="3" s="1"/>
  <c r="M573" i="3"/>
  <c r="N573" i="3" s="1"/>
  <c r="W573" i="3"/>
  <c r="AA574" i="3"/>
  <c r="Z574" i="3"/>
  <c r="P574" i="3"/>
  <c r="Q574" i="3" s="1"/>
  <c r="R574" i="3" s="1"/>
  <c r="S574" i="3" s="1"/>
  <c r="AC574" i="3"/>
  <c r="U573" i="3" l="1"/>
  <c r="Y572" i="3"/>
  <c r="T574" i="3"/>
  <c r="AH574" i="3" s="1"/>
  <c r="D574" i="3" l="1"/>
  <c r="G574" i="3" s="1"/>
  <c r="AG574" i="3"/>
  <c r="E574" i="3"/>
  <c r="H574" i="3" s="1"/>
  <c r="K574" i="3" l="1"/>
  <c r="AE574" i="3" s="1"/>
  <c r="I574" i="3"/>
  <c r="J574" i="3"/>
  <c r="AD574" i="3" s="1"/>
  <c r="M574" i="3"/>
  <c r="N574" i="3" s="1"/>
  <c r="F574" i="3"/>
  <c r="V574" i="3" l="1"/>
  <c r="W574" i="3" s="1"/>
  <c r="A575" i="3"/>
  <c r="B575" i="3" s="1"/>
  <c r="L574" i="3"/>
  <c r="U574" i="3" l="1"/>
  <c r="Y573" i="3"/>
  <c r="P575" i="3"/>
  <c r="Q575" i="3" s="1"/>
  <c r="R575" i="3" s="1"/>
  <c r="S575" i="3" s="1"/>
  <c r="Z575" i="3"/>
  <c r="AC575" i="3"/>
  <c r="AA575" i="3"/>
  <c r="AD575" i="3"/>
  <c r="T575" i="3" l="1"/>
  <c r="AH575" i="3" s="1"/>
  <c r="AG575" i="3" l="1"/>
  <c r="E575" i="3"/>
  <c r="H575" i="3" s="1"/>
  <c r="D575" i="3"/>
  <c r="K575" i="3" l="1"/>
  <c r="AE575" i="3" s="1"/>
  <c r="F575" i="3"/>
  <c r="G575" i="3"/>
  <c r="V575" i="3" l="1"/>
  <c r="A576" i="3"/>
  <c r="B576" i="3" s="1"/>
  <c r="I575" i="3"/>
  <c r="J575" i="3"/>
  <c r="M575" i="3"/>
  <c r="N575" i="3" s="1"/>
  <c r="W575" i="3" l="1"/>
  <c r="L575" i="3"/>
  <c r="AA576" i="3"/>
  <c r="P576" i="3"/>
  <c r="Q576" i="3" s="1"/>
  <c r="R576" i="3" s="1"/>
  <c r="S576" i="3" s="1"/>
  <c r="AD576" i="3"/>
  <c r="Z576" i="3"/>
  <c r="AC576" i="3"/>
  <c r="U575" i="3" l="1"/>
  <c r="Y574" i="3"/>
  <c r="T576" i="3"/>
  <c r="E576" i="3" l="1"/>
  <c r="H576" i="3" s="1"/>
  <c r="K576" i="3" s="1"/>
  <c r="AE576" i="3" s="1"/>
  <c r="AH576" i="3"/>
  <c r="D576" i="3"/>
  <c r="G576" i="3" s="1"/>
  <c r="AG576" i="3"/>
  <c r="F576" i="3" l="1"/>
  <c r="V576" i="3"/>
  <c r="A577" i="3"/>
  <c r="B577" i="3" s="1"/>
  <c r="I576" i="3"/>
  <c r="J576" i="3"/>
  <c r="M576" i="3"/>
  <c r="N576" i="3" s="1"/>
  <c r="W576" i="3" l="1"/>
  <c r="L576" i="3"/>
  <c r="P577" i="3"/>
  <c r="Q577" i="3" s="1"/>
  <c r="R577" i="3" s="1"/>
  <c r="S577" i="3" s="1"/>
  <c r="AD577" i="3"/>
  <c r="AC577" i="3"/>
  <c r="AA577" i="3"/>
  <c r="Z577" i="3"/>
  <c r="U576" i="3" l="1"/>
  <c r="Y575" i="3"/>
  <c r="T577" i="3"/>
  <c r="AH577" i="3" s="1"/>
  <c r="E577" i="3" l="1"/>
  <c r="H577" i="3" s="1"/>
  <c r="K577" i="3" s="1"/>
  <c r="AE577" i="3" s="1"/>
  <c r="AG577" i="3"/>
  <c r="D577" i="3"/>
  <c r="F577" i="3" l="1"/>
  <c r="G577" i="3"/>
  <c r="J577" i="3" s="1"/>
  <c r="V577" i="3"/>
  <c r="A578" i="3"/>
  <c r="B578" i="3" s="1"/>
  <c r="M577" i="3" l="1"/>
  <c r="N577" i="3" s="1"/>
  <c r="I577" i="3"/>
  <c r="W577" i="3" s="1"/>
  <c r="L577" i="3"/>
  <c r="AC578" i="3"/>
  <c r="AD578" i="3"/>
  <c r="P578" i="3"/>
  <c r="Q578" i="3" s="1"/>
  <c r="R578" i="3" s="1"/>
  <c r="S578" i="3" s="1"/>
  <c r="Z578" i="3"/>
  <c r="AA578" i="3"/>
  <c r="U577" i="3" l="1"/>
  <c r="Y576" i="3"/>
  <c r="T578" i="3"/>
  <c r="AG578" i="3" s="1"/>
  <c r="D578" i="3" l="1"/>
  <c r="G578" i="3" s="1"/>
  <c r="AH578" i="3"/>
  <c r="E578" i="3"/>
  <c r="H578" i="3" s="1"/>
  <c r="K578" i="3" s="1"/>
  <c r="AE578" i="3" s="1"/>
  <c r="F578" i="3" l="1"/>
  <c r="I578" i="3"/>
  <c r="J578" i="3"/>
  <c r="M578" i="3"/>
  <c r="N578" i="3" s="1"/>
  <c r="V578" i="3"/>
  <c r="A579" i="3"/>
  <c r="B579" i="3" s="1"/>
  <c r="W578" i="3" l="1"/>
  <c r="L578" i="3"/>
  <c r="AC579" i="3"/>
  <c r="Z579" i="3"/>
  <c r="P579" i="3"/>
  <c r="Q579" i="3" s="1"/>
  <c r="R579" i="3" s="1"/>
  <c r="S579" i="3" s="1"/>
  <c r="AD579" i="3"/>
  <c r="AA579" i="3"/>
  <c r="U578" i="3" l="1"/>
  <c r="Y577" i="3"/>
  <c r="T579" i="3"/>
  <c r="AG579" i="3" s="1"/>
  <c r="E579" i="3" l="1"/>
  <c r="H579" i="3" s="1"/>
  <c r="K579" i="3" s="1"/>
  <c r="AE579" i="3" s="1"/>
  <c r="AH579" i="3"/>
  <c r="D579" i="3"/>
  <c r="F579" i="3" l="1"/>
  <c r="G579" i="3"/>
  <c r="M579" i="3" s="1"/>
  <c r="N579" i="3" s="1"/>
  <c r="V579" i="3"/>
  <c r="A580" i="3"/>
  <c r="B580" i="3" s="1"/>
  <c r="I579" i="3" l="1"/>
  <c r="W579" i="3" s="1"/>
  <c r="J579" i="3"/>
  <c r="L579" i="3" s="1"/>
  <c r="AD580" i="3"/>
  <c r="P580" i="3"/>
  <c r="Q580" i="3" s="1"/>
  <c r="R580" i="3" s="1"/>
  <c r="S580" i="3" s="1"/>
  <c r="AA580" i="3"/>
  <c r="AC580" i="3"/>
  <c r="Z580" i="3"/>
  <c r="U579" i="3" l="1"/>
  <c r="Y578" i="3"/>
  <c r="T580" i="3"/>
  <c r="AH580" i="3" s="1"/>
  <c r="E580" i="3" l="1"/>
  <c r="H580" i="3" s="1"/>
  <c r="D580" i="3"/>
  <c r="AG580" i="3"/>
  <c r="K580" i="3" l="1"/>
  <c r="AE580" i="3" s="1"/>
  <c r="F580" i="3"/>
  <c r="G580" i="3"/>
  <c r="I580" i="3" l="1"/>
  <c r="J580" i="3"/>
  <c r="M580" i="3"/>
  <c r="N580" i="3" s="1"/>
  <c r="V580" i="3"/>
  <c r="A581" i="3"/>
  <c r="B581" i="3" s="1"/>
  <c r="W580" i="3" l="1"/>
  <c r="P581" i="3"/>
  <c r="Q581" i="3" s="1"/>
  <c r="R581" i="3" s="1"/>
  <c r="S581" i="3" s="1"/>
  <c r="Z581" i="3"/>
  <c r="AA581" i="3"/>
  <c r="AC581" i="3"/>
  <c r="AD581" i="3"/>
  <c r="L580" i="3"/>
  <c r="T581" i="3" l="1"/>
  <c r="AH581" i="3" s="1"/>
  <c r="U580" i="3"/>
  <c r="Y579" i="3"/>
  <c r="D581" i="3" l="1"/>
  <c r="G581" i="3" s="1"/>
  <c r="AG581" i="3"/>
  <c r="E581" i="3"/>
  <c r="H581" i="3" s="1"/>
  <c r="I581" i="3" l="1"/>
  <c r="J581" i="3"/>
  <c r="M581" i="3"/>
  <c r="N581" i="3" s="1"/>
  <c r="F581" i="3"/>
  <c r="K581" i="3"/>
  <c r="AE581" i="3" s="1"/>
  <c r="L581" i="3" l="1"/>
  <c r="V581" i="3"/>
  <c r="W581" i="3" s="1"/>
  <c r="A582" i="3"/>
  <c r="B582" i="3" s="1"/>
  <c r="P582" i="3" l="1"/>
  <c r="Q582" i="3" s="1"/>
  <c r="R582" i="3" s="1"/>
  <c r="S582" i="3" s="1"/>
  <c r="Z582" i="3"/>
  <c r="AD582" i="3"/>
  <c r="AC582" i="3"/>
  <c r="AA582" i="3"/>
  <c r="U581" i="3"/>
  <c r="Y580" i="3"/>
  <c r="T582" i="3" l="1"/>
  <c r="AH582" i="3" s="1"/>
  <c r="E582" i="3" l="1"/>
  <c r="H582" i="3" s="1"/>
  <c r="K582" i="3" s="1"/>
  <c r="AE582" i="3" s="1"/>
  <c r="AG582" i="3"/>
  <c r="D582" i="3"/>
  <c r="V582" i="3" l="1"/>
  <c r="A583" i="3"/>
  <c r="B583" i="3" s="1"/>
  <c r="F582" i="3"/>
  <c r="G582" i="3"/>
  <c r="I582" i="3" l="1"/>
  <c r="W582" i="3" s="1"/>
  <c r="J582" i="3"/>
  <c r="M582" i="3"/>
  <c r="N582" i="3" s="1"/>
  <c r="AD583" i="3"/>
  <c r="AA583" i="3"/>
  <c r="Z583" i="3"/>
  <c r="P583" i="3"/>
  <c r="Q583" i="3" s="1"/>
  <c r="R583" i="3" s="1"/>
  <c r="S583" i="3" s="1"/>
  <c r="AC583" i="3"/>
  <c r="T583" i="3" l="1"/>
  <c r="L582" i="3"/>
  <c r="U582" i="3" l="1"/>
  <c r="E583" i="3" s="1"/>
  <c r="H583" i="3" s="1"/>
  <c r="AG583" i="3"/>
  <c r="AH583" i="3"/>
  <c r="Y581" i="3"/>
  <c r="D583" i="3" l="1"/>
  <c r="G583" i="3" s="1"/>
  <c r="K583" i="3"/>
  <c r="AE583" i="3" s="1"/>
  <c r="F583" i="3" l="1"/>
  <c r="V583" i="3"/>
  <c r="A584" i="3"/>
  <c r="B584" i="3" s="1"/>
  <c r="I583" i="3"/>
  <c r="J583" i="3"/>
  <c r="M583" i="3"/>
  <c r="N583" i="3" s="1"/>
  <c r="W583" i="3" l="1"/>
  <c r="L583" i="3"/>
  <c r="AC584" i="3"/>
  <c r="P584" i="3"/>
  <c r="Q584" i="3" s="1"/>
  <c r="R584" i="3" s="1"/>
  <c r="S584" i="3" s="1"/>
  <c r="AA584" i="3"/>
  <c r="Z584" i="3"/>
  <c r="U583" i="3" l="1"/>
  <c r="Y582" i="3"/>
  <c r="T584" i="3"/>
  <c r="AG584" i="3" s="1"/>
  <c r="E584" i="3" l="1"/>
  <c r="H584" i="3" s="1"/>
  <c r="K584" i="3" s="1"/>
  <c r="AE584" i="3" s="1"/>
  <c r="AH584" i="3"/>
  <c r="D584" i="3"/>
  <c r="V584" i="3" l="1"/>
  <c r="A585" i="3"/>
  <c r="B585" i="3" s="1"/>
  <c r="F584" i="3"/>
  <c r="G584" i="3"/>
  <c r="Z585" i="3" l="1"/>
  <c r="AA585" i="3"/>
  <c r="P585" i="3"/>
  <c r="Q585" i="3" s="1"/>
  <c r="R585" i="3" s="1"/>
  <c r="S585" i="3" s="1"/>
  <c r="AD585" i="3"/>
  <c r="AC585" i="3"/>
  <c r="I584" i="3"/>
  <c r="W584" i="3" s="1"/>
  <c r="J584" i="3"/>
  <c r="AD584" i="3" s="1"/>
  <c r="M584" i="3"/>
  <c r="N584" i="3" s="1"/>
  <c r="T585" i="3" l="1"/>
  <c r="L584" i="3"/>
  <c r="AG585" i="3" l="1"/>
  <c r="U584" i="3"/>
  <c r="D585" i="3" s="1"/>
  <c r="AH585" i="3"/>
  <c r="Y583" i="3"/>
  <c r="G585" i="3" l="1"/>
  <c r="E585" i="3"/>
  <c r="H585" i="3" s="1"/>
  <c r="F585" i="3" l="1"/>
  <c r="I585" i="3"/>
  <c r="J585" i="3"/>
  <c r="M585" i="3"/>
  <c r="N585" i="3" s="1"/>
  <c r="K585" i="3"/>
  <c r="AE585" i="3" s="1"/>
  <c r="V585" i="3" l="1"/>
  <c r="W585" i="3" s="1"/>
  <c r="A586" i="3"/>
  <c r="B586" i="3" s="1"/>
  <c r="L585" i="3"/>
  <c r="U585" i="3" l="1"/>
  <c r="Y584" i="3"/>
  <c r="P586" i="3"/>
  <c r="Q586" i="3" s="1"/>
  <c r="R586" i="3" s="1"/>
  <c r="S586" i="3" s="1"/>
  <c r="AA586" i="3"/>
  <c r="Z586" i="3"/>
  <c r="AD586" i="3"/>
  <c r="AC586" i="3"/>
  <c r="T586" i="3" l="1"/>
  <c r="E586" i="3" s="1"/>
  <c r="H586" i="3" s="1"/>
  <c r="AH586" i="3" l="1"/>
  <c r="K586" i="3"/>
  <c r="AE586" i="3" s="1"/>
  <c r="AG586" i="3"/>
  <c r="D586" i="3"/>
  <c r="F586" i="3" l="1"/>
  <c r="G586" i="3"/>
  <c r="V586" i="3"/>
  <c r="A587" i="3"/>
  <c r="B587" i="3" s="1"/>
  <c r="AA587" i="3" l="1"/>
  <c r="AD587" i="3"/>
  <c r="Z587" i="3"/>
  <c r="AC587" i="3"/>
  <c r="P587" i="3"/>
  <c r="Q587" i="3" s="1"/>
  <c r="R587" i="3" s="1"/>
  <c r="S587" i="3" s="1"/>
  <c r="I586" i="3"/>
  <c r="W586" i="3" s="1"/>
  <c r="J586" i="3"/>
  <c r="M586" i="3"/>
  <c r="N586" i="3" s="1"/>
  <c r="T587" i="3" l="1"/>
  <c r="L586" i="3"/>
  <c r="AH587" i="3" l="1"/>
  <c r="U586" i="3"/>
  <c r="D587" i="3" s="1"/>
  <c r="AG587" i="3"/>
  <c r="Y585" i="3"/>
  <c r="G587" i="3" l="1"/>
  <c r="E587" i="3"/>
  <c r="H587" i="3" s="1"/>
  <c r="F587" i="3" l="1"/>
  <c r="K587" i="3"/>
  <c r="AE587" i="3" s="1"/>
  <c r="I587" i="3"/>
  <c r="J587" i="3"/>
  <c r="M587" i="3"/>
  <c r="N587" i="3" s="1"/>
  <c r="L587" i="3" l="1"/>
  <c r="V587" i="3"/>
  <c r="W587" i="3" s="1"/>
  <c r="A588" i="3"/>
  <c r="B588" i="3" s="1"/>
  <c r="U587" i="3" l="1"/>
  <c r="Y586" i="3"/>
  <c r="P588" i="3"/>
  <c r="Q588" i="3" s="1"/>
  <c r="R588" i="3" s="1"/>
  <c r="S588" i="3" s="1"/>
  <c r="AD588" i="3"/>
  <c r="Z588" i="3"/>
  <c r="AC588" i="3"/>
  <c r="AA588" i="3"/>
  <c r="T588" i="3" l="1"/>
  <c r="AH588" i="3" s="1"/>
  <c r="E588" i="3" l="1"/>
  <c r="H588" i="3" s="1"/>
  <c r="K588" i="3" s="1"/>
  <c r="AE588" i="3" s="1"/>
  <c r="AG588" i="3"/>
  <c r="D588" i="3"/>
  <c r="G588" i="3" s="1"/>
  <c r="F588" i="3" l="1"/>
  <c r="I588" i="3"/>
  <c r="J588" i="3"/>
  <c r="M588" i="3"/>
  <c r="N588" i="3" s="1"/>
  <c r="V588" i="3"/>
  <c r="A589" i="3"/>
  <c r="B589" i="3" s="1"/>
  <c r="W588" i="3" l="1"/>
  <c r="L588" i="3"/>
  <c r="AA589" i="3"/>
  <c r="Z589" i="3"/>
  <c r="AC589" i="3"/>
  <c r="P589" i="3"/>
  <c r="Q589" i="3" s="1"/>
  <c r="R589" i="3" s="1"/>
  <c r="S589" i="3" s="1"/>
  <c r="AD589" i="3"/>
  <c r="T589" i="3" l="1"/>
  <c r="AG589" i="3" s="1"/>
  <c r="U588" i="3"/>
  <c r="Y587" i="3"/>
  <c r="AH589" i="3" l="1"/>
  <c r="D589" i="3"/>
  <c r="E589" i="3"/>
  <c r="H589" i="3" s="1"/>
  <c r="F589" i="3" l="1"/>
  <c r="G589" i="3"/>
  <c r="K589" i="3"/>
  <c r="AE589" i="3" s="1"/>
  <c r="I589" i="3" l="1"/>
  <c r="J589" i="3"/>
  <c r="M589" i="3"/>
  <c r="N589" i="3" s="1"/>
  <c r="V589" i="3"/>
  <c r="A590" i="3"/>
  <c r="B590" i="3" s="1"/>
  <c r="W589" i="3" l="1"/>
  <c r="L589" i="3"/>
  <c r="P590" i="3"/>
  <c r="Q590" i="3" s="1"/>
  <c r="R590" i="3" s="1"/>
  <c r="S590" i="3" s="1"/>
  <c r="AC590" i="3"/>
  <c r="AA590" i="3"/>
  <c r="Z590" i="3"/>
  <c r="AD590" i="3"/>
  <c r="U589" i="3" l="1"/>
  <c r="Y588" i="3"/>
  <c r="T590" i="3"/>
  <c r="AH590" i="3" s="1"/>
  <c r="D590" i="3" l="1"/>
  <c r="G590" i="3" s="1"/>
  <c r="E590" i="3"/>
  <c r="H590" i="3" s="1"/>
  <c r="K590" i="3" s="1"/>
  <c r="AE590" i="3" s="1"/>
  <c r="AG590" i="3"/>
  <c r="F590" i="3" l="1"/>
  <c r="V590" i="3"/>
  <c r="A591" i="3"/>
  <c r="B591" i="3" s="1"/>
  <c r="I590" i="3"/>
  <c r="J590" i="3"/>
  <c r="M590" i="3"/>
  <c r="N590" i="3" s="1"/>
  <c r="W590" i="3" l="1"/>
  <c r="L590" i="3"/>
  <c r="AC591" i="3"/>
  <c r="P591" i="3"/>
  <c r="Q591" i="3" s="1"/>
  <c r="R591" i="3" s="1"/>
  <c r="S591" i="3" s="1"/>
  <c r="Z591" i="3"/>
  <c r="AA591" i="3"/>
  <c r="AD591" i="3"/>
  <c r="U590" i="3" l="1"/>
  <c r="Y589" i="3"/>
  <c r="T591" i="3"/>
  <c r="AG591" i="3" s="1"/>
  <c r="D591" i="3" l="1"/>
  <c r="G591" i="3" s="1"/>
  <c r="E591" i="3"/>
  <c r="H591" i="3" s="1"/>
  <c r="K591" i="3" s="1"/>
  <c r="AE591" i="3" s="1"/>
  <c r="AH591" i="3"/>
  <c r="F591" i="3" l="1"/>
  <c r="I591" i="3"/>
  <c r="J591" i="3"/>
  <c r="M591" i="3"/>
  <c r="N591" i="3" s="1"/>
  <c r="V591" i="3"/>
  <c r="A592" i="3"/>
  <c r="B592" i="3" s="1"/>
  <c r="W591" i="3" l="1"/>
  <c r="L591" i="3"/>
  <c r="AA592" i="3"/>
  <c r="AC592" i="3"/>
  <c r="Z592" i="3"/>
  <c r="AD592" i="3"/>
  <c r="P592" i="3"/>
  <c r="Q592" i="3" s="1"/>
  <c r="R592" i="3" s="1"/>
  <c r="S592" i="3" s="1"/>
  <c r="U591" i="3" l="1"/>
  <c r="Y590" i="3"/>
  <c r="T592" i="3"/>
  <c r="D592" i="3" l="1"/>
  <c r="G592" i="3" s="1"/>
  <c r="AH592" i="3"/>
  <c r="AG592" i="3"/>
  <c r="E592" i="3"/>
  <c r="H592" i="3" s="1"/>
  <c r="K592" i="3" s="1"/>
  <c r="AE592" i="3" s="1"/>
  <c r="F592" i="3" l="1"/>
  <c r="I592" i="3"/>
  <c r="J592" i="3"/>
  <c r="M592" i="3"/>
  <c r="N592" i="3" s="1"/>
  <c r="V592" i="3"/>
  <c r="A593" i="3"/>
  <c r="B593" i="3" s="1"/>
  <c r="W592" i="3" l="1"/>
  <c r="L592" i="3"/>
  <c r="Z593" i="3"/>
  <c r="P593" i="3"/>
  <c r="Q593" i="3" s="1"/>
  <c r="R593" i="3" s="1"/>
  <c r="S593" i="3" s="1"/>
  <c r="AD593" i="3"/>
  <c r="AA593" i="3"/>
  <c r="AC593" i="3"/>
  <c r="U592" i="3" l="1"/>
  <c r="Y591" i="3"/>
  <c r="T593" i="3"/>
  <c r="E593" i="3" l="1"/>
  <c r="H593" i="3" s="1"/>
  <c r="K593" i="3" s="1"/>
  <c r="AE593" i="3" s="1"/>
  <c r="D593" i="3"/>
  <c r="G593" i="3" s="1"/>
  <c r="AH593" i="3"/>
  <c r="AG593" i="3"/>
  <c r="F593" i="3" l="1"/>
  <c r="I593" i="3"/>
  <c r="J593" i="3"/>
  <c r="M593" i="3"/>
  <c r="N593" i="3" s="1"/>
  <c r="V593" i="3"/>
  <c r="A594" i="3"/>
  <c r="B594" i="3" s="1"/>
  <c r="W593" i="3" l="1"/>
  <c r="L593" i="3"/>
  <c r="Z594" i="3"/>
  <c r="AA594" i="3"/>
  <c r="P594" i="3"/>
  <c r="Q594" i="3" s="1"/>
  <c r="R594" i="3" s="1"/>
  <c r="S594" i="3" s="1"/>
  <c r="AC594" i="3"/>
  <c r="U593" i="3" l="1"/>
  <c r="Y592" i="3"/>
  <c r="T594" i="3"/>
  <c r="AG594" i="3" s="1"/>
  <c r="AH594" i="3" l="1"/>
  <c r="E594" i="3"/>
  <c r="H594" i="3" s="1"/>
  <c r="K594" i="3" s="1"/>
  <c r="AE594" i="3" s="1"/>
  <c r="D594" i="3"/>
  <c r="V594" i="3" l="1"/>
  <c r="A595" i="3"/>
  <c r="B595" i="3" s="1"/>
  <c r="F594" i="3"/>
  <c r="G594" i="3"/>
  <c r="I594" i="3" l="1"/>
  <c r="W594" i="3" s="1"/>
  <c r="J594" i="3"/>
  <c r="AD594" i="3" s="1"/>
  <c r="M594" i="3"/>
  <c r="N594" i="3" s="1"/>
  <c r="AC595" i="3"/>
  <c r="AA595" i="3"/>
  <c r="P595" i="3"/>
  <c r="Q595" i="3" s="1"/>
  <c r="R595" i="3" s="1"/>
  <c r="S595" i="3" s="1"/>
  <c r="Z595" i="3"/>
  <c r="AD595" i="3"/>
  <c r="T595" i="3" l="1"/>
  <c r="L594" i="3"/>
  <c r="AH595" i="3" l="1"/>
  <c r="U594" i="3"/>
  <c r="E595" i="3" s="1"/>
  <c r="H595" i="3" s="1"/>
  <c r="AG595" i="3"/>
  <c r="Y593" i="3"/>
  <c r="D595" i="3" l="1"/>
  <c r="G595" i="3" s="1"/>
  <c r="K595" i="3"/>
  <c r="AE595" i="3" s="1"/>
  <c r="F595" i="3" l="1"/>
  <c r="V595" i="3"/>
  <c r="A596" i="3"/>
  <c r="B596" i="3" s="1"/>
  <c r="I595" i="3"/>
  <c r="J595" i="3"/>
  <c r="M595" i="3"/>
  <c r="N595" i="3" s="1"/>
  <c r="W595" i="3" l="1"/>
  <c r="L595" i="3"/>
  <c r="P596" i="3"/>
  <c r="Q596" i="3" s="1"/>
  <c r="R596" i="3" s="1"/>
  <c r="S596" i="3" s="1"/>
  <c r="AA596" i="3"/>
  <c r="AC596" i="3"/>
  <c r="AD596" i="3"/>
  <c r="Z596" i="3"/>
  <c r="T596" i="3" l="1"/>
  <c r="AG596" i="3" s="1"/>
  <c r="U595" i="3"/>
  <c r="Y594" i="3"/>
  <c r="D596" i="3" l="1"/>
  <c r="E596" i="3"/>
  <c r="H596" i="3" s="1"/>
  <c r="AH596" i="3"/>
  <c r="F596" i="3" l="1"/>
  <c r="G596" i="3"/>
  <c r="K596" i="3"/>
  <c r="AE596" i="3" s="1"/>
  <c r="V596" i="3" l="1"/>
  <c r="A597" i="3"/>
  <c r="B597" i="3" s="1"/>
  <c r="I596" i="3"/>
  <c r="J596" i="3"/>
  <c r="M596" i="3"/>
  <c r="N596" i="3" s="1"/>
  <c r="W596" i="3" l="1"/>
  <c r="L596" i="3"/>
  <c r="Z597" i="3"/>
  <c r="P597" i="3"/>
  <c r="Q597" i="3" s="1"/>
  <c r="R597" i="3" s="1"/>
  <c r="S597" i="3" s="1"/>
  <c r="AA597" i="3"/>
  <c r="AC597" i="3"/>
  <c r="AD597" i="3"/>
  <c r="U596" i="3" l="1"/>
  <c r="Y595" i="3"/>
  <c r="T597" i="3"/>
  <c r="E597" i="3" l="1"/>
  <c r="H597" i="3" s="1"/>
  <c r="K597" i="3" s="1"/>
  <c r="AE597" i="3" s="1"/>
  <c r="AH597" i="3"/>
  <c r="AG597" i="3"/>
  <c r="D597" i="3"/>
  <c r="G597" i="3" s="1"/>
  <c r="F597" i="3" l="1"/>
  <c r="I597" i="3"/>
  <c r="J597" i="3"/>
  <c r="M597" i="3"/>
  <c r="N597" i="3" s="1"/>
  <c r="V597" i="3"/>
  <c r="A598" i="3"/>
  <c r="B598" i="3" s="1"/>
  <c r="W597" i="3" l="1"/>
  <c r="L597" i="3"/>
  <c r="AC598" i="3"/>
  <c r="P598" i="3"/>
  <c r="Q598" i="3" s="1"/>
  <c r="R598" i="3" s="1"/>
  <c r="S598" i="3" s="1"/>
  <c r="Z598" i="3"/>
  <c r="AA598" i="3"/>
  <c r="AD598" i="3"/>
  <c r="U597" i="3" l="1"/>
  <c r="Y596" i="3"/>
  <c r="T598" i="3"/>
  <c r="AG598" i="3" s="1"/>
  <c r="AH598" i="3" l="1"/>
  <c r="E598" i="3"/>
  <c r="H598" i="3" s="1"/>
  <c r="K598" i="3" s="1"/>
  <c r="AE598" i="3" s="1"/>
  <c r="D598" i="3"/>
  <c r="V598" i="3" l="1"/>
  <c r="A599" i="3"/>
  <c r="B599" i="3" s="1"/>
  <c r="F598" i="3"/>
  <c r="G598" i="3"/>
  <c r="I598" i="3" l="1"/>
  <c r="W598" i="3" s="1"/>
  <c r="J598" i="3"/>
  <c r="M598" i="3"/>
  <c r="N598" i="3" s="1"/>
  <c r="AC599" i="3"/>
  <c r="AA599" i="3"/>
  <c r="P599" i="3"/>
  <c r="Q599" i="3" s="1"/>
  <c r="R599" i="3" s="1"/>
  <c r="S599" i="3" s="1"/>
  <c r="AD599" i="3"/>
  <c r="Z599" i="3"/>
  <c r="T599" i="3" l="1"/>
  <c r="L598" i="3"/>
  <c r="U598" i="3" l="1"/>
  <c r="D599" i="3" s="1"/>
  <c r="AG599" i="3"/>
  <c r="AH599" i="3"/>
  <c r="Y597" i="3"/>
  <c r="G599" i="3" l="1"/>
  <c r="E599" i="3"/>
  <c r="H599" i="3" s="1"/>
  <c r="I599" i="3" l="1"/>
  <c r="J599" i="3"/>
  <c r="M599" i="3"/>
  <c r="N599" i="3" s="1"/>
  <c r="K599" i="3"/>
  <c r="AE599" i="3" s="1"/>
  <c r="F599" i="3"/>
  <c r="V599" i="3" l="1"/>
  <c r="W599" i="3" s="1"/>
  <c r="A600" i="3"/>
  <c r="B600" i="3" s="1"/>
  <c r="L599" i="3"/>
  <c r="U599" i="3" l="1"/>
  <c r="Y598" i="3"/>
  <c r="AC600" i="3"/>
  <c r="P600" i="3"/>
  <c r="Q600" i="3" s="1"/>
  <c r="R600" i="3" s="1"/>
  <c r="S600" i="3" s="1"/>
  <c r="Z600" i="3"/>
  <c r="AA600" i="3"/>
  <c r="AD600" i="3"/>
  <c r="T600" i="3" l="1"/>
  <c r="E600" i="3" s="1"/>
  <c r="H600" i="3" s="1"/>
  <c r="AH600" i="3" l="1"/>
  <c r="K600" i="3"/>
  <c r="AE600" i="3" s="1"/>
  <c r="AG600" i="3"/>
  <c r="D600" i="3"/>
  <c r="V600" i="3" l="1"/>
  <c r="A601" i="3"/>
  <c r="B601" i="3" s="1"/>
  <c r="F600" i="3"/>
  <c r="G600" i="3"/>
  <c r="I600" i="3" l="1"/>
  <c r="W600" i="3" s="1"/>
  <c r="J600" i="3"/>
  <c r="M600" i="3"/>
  <c r="N600" i="3" s="1"/>
  <c r="P601" i="3"/>
  <c r="Q601" i="3" s="1"/>
  <c r="R601" i="3" s="1"/>
  <c r="S601" i="3" s="1"/>
  <c r="AA601" i="3"/>
  <c r="AC601" i="3"/>
  <c r="Z601" i="3"/>
  <c r="AD601" i="3"/>
  <c r="T601" i="3" l="1"/>
  <c r="L600" i="3"/>
  <c r="AH601" i="3" l="1"/>
  <c r="U600" i="3"/>
  <c r="D601" i="3" s="1"/>
  <c r="AG601" i="3"/>
  <c r="Y599" i="3"/>
  <c r="E601" i="3" l="1"/>
  <c r="H601" i="3" s="1"/>
  <c r="K601" i="3" s="1"/>
  <c r="AE601" i="3" s="1"/>
  <c r="G601" i="3"/>
  <c r="F601" i="3" l="1"/>
  <c r="I601" i="3"/>
  <c r="J601" i="3"/>
  <c r="M601" i="3"/>
  <c r="N601" i="3" s="1"/>
  <c r="V601" i="3"/>
  <c r="A602" i="3"/>
  <c r="B602" i="3" s="1"/>
  <c r="W601" i="3" l="1"/>
  <c r="L601" i="3"/>
  <c r="P602" i="3"/>
  <c r="Q602" i="3" s="1"/>
  <c r="R602" i="3" s="1"/>
  <c r="S602" i="3" s="1"/>
  <c r="Z602" i="3"/>
  <c r="AC602" i="3"/>
  <c r="AD602" i="3"/>
  <c r="AA602" i="3"/>
  <c r="U601" i="3" l="1"/>
  <c r="Y600" i="3"/>
  <c r="T602" i="3"/>
  <c r="AG602" i="3" s="1"/>
  <c r="D602" i="3" l="1"/>
  <c r="E602" i="3"/>
  <c r="H602" i="3" s="1"/>
  <c r="AH602" i="3"/>
  <c r="K602" i="3" l="1"/>
  <c r="AE602" i="3" s="1"/>
  <c r="F602" i="3"/>
  <c r="G602" i="3"/>
  <c r="I602" i="3" l="1"/>
  <c r="J602" i="3"/>
  <c r="M602" i="3"/>
  <c r="N602" i="3" s="1"/>
  <c r="V602" i="3"/>
  <c r="A603" i="3"/>
  <c r="B603" i="3" s="1"/>
  <c r="W602" i="3" l="1"/>
  <c r="L602" i="3"/>
  <c r="AA603" i="3"/>
  <c r="AC603" i="3"/>
  <c r="AD603" i="3"/>
  <c r="Z603" i="3"/>
  <c r="P603" i="3"/>
  <c r="Q603" i="3" s="1"/>
  <c r="R603" i="3" s="1"/>
  <c r="S603" i="3" s="1"/>
  <c r="U602" i="3" l="1"/>
  <c r="Y601" i="3"/>
  <c r="T603" i="3"/>
  <c r="AG603" i="3" s="1"/>
  <c r="AH603" i="3" l="1"/>
  <c r="D603" i="3"/>
  <c r="G603" i="3" s="1"/>
  <c r="E603" i="3"/>
  <c r="H603" i="3" s="1"/>
  <c r="K603" i="3" s="1"/>
  <c r="AE603" i="3" s="1"/>
  <c r="F603" i="3" l="1"/>
  <c r="I603" i="3"/>
  <c r="J603" i="3"/>
  <c r="M603" i="3"/>
  <c r="N603" i="3" s="1"/>
  <c r="V603" i="3"/>
  <c r="A604" i="3"/>
  <c r="B604" i="3" s="1"/>
  <c r="W603" i="3" l="1"/>
  <c r="L603" i="3"/>
  <c r="AC604" i="3"/>
  <c r="Z604" i="3"/>
  <c r="AA604" i="3"/>
  <c r="P604" i="3"/>
  <c r="Q604" i="3" s="1"/>
  <c r="R604" i="3" s="1"/>
  <c r="S604" i="3" s="1"/>
  <c r="U603" i="3" l="1"/>
  <c r="Y602" i="3"/>
  <c r="T604" i="3"/>
  <c r="AH604" i="3" s="1"/>
  <c r="D604" i="3" l="1"/>
  <c r="E604" i="3"/>
  <c r="H604" i="3" s="1"/>
  <c r="AG604" i="3"/>
  <c r="F604" i="3" l="1"/>
  <c r="G604" i="3"/>
  <c r="K604" i="3"/>
  <c r="AE604" i="3" s="1"/>
  <c r="V604" i="3" l="1"/>
  <c r="A605" i="3"/>
  <c r="B605" i="3" s="1"/>
  <c r="I604" i="3"/>
  <c r="J604" i="3"/>
  <c r="AD604" i="3" s="1"/>
  <c r="M604" i="3"/>
  <c r="N604" i="3" s="1"/>
  <c r="W604" i="3" l="1"/>
  <c r="L604" i="3"/>
  <c r="P605" i="3"/>
  <c r="Q605" i="3" s="1"/>
  <c r="R605" i="3" s="1"/>
  <c r="S605" i="3" s="1"/>
  <c r="Z605" i="3"/>
  <c r="AA605" i="3"/>
  <c r="AD605" i="3"/>
  <c r="AC605" i="3"/>
  <c r="U604" i="3" l="1"/>
  <c r="Y603" i="3"/>
  <c r="T605" i="3"/>
  <c r="AG605" i="3" s="1"/>
  <c r="AH605" i="3" l="1"/>
  <c r="D605" i="3"/>
  <c r="E605" i="3"/>
  <c r="H605" i="3" s="1"/>
  <c r="K605" i="3" s="1"/>
  <c r="AE605" i="3" s="1"/>
  <c r="F605" i="3" l="1"/>
  <c r="G605" i="3"/>
  <c r="M605" i="3" s="1"/>
  <c r="N605" i="3" s="1"/>
  <c r="V605" i="3"/>
  <c r="A606" i="3"/>
  <c r="B606" i="3" s="1"/>
  <c r="I605" i="3" l="1"/>
  <c r="W605" i="3" s="1"/>
  <c r="J605" i="3"/>
  <c r="L605" i="3" s="1"/>
  <c r="P606" i="3"/>
  <c r="Q606" i="3" s="1"/>
  <c r="R606" i="3" s="1"/>
  <c r="S606" i="3" s="1"/>
  <c r="AC606" i="3"/>
  <c r="AD606" i="3"/>
  <c r="AA606" i="3"/>
  <c r="Z606" i="3"/>
  <c r="U605" i="3" l="1"/>
  <c r="Y604" i="3"/>
  <c r="T606" i="3"/>
  <c r="AG606" i="3" s="1"/>
  <c r="E606" i="3" l="1"/>
  <c r="H606" i="3" s="1"/>
  <c r="AH606" i="3"/>
  <c r="D606" i="3"/>
  <c r="F606" i="3" l="1"/>
  <c r="G606" i="3"/>
  <c r="K606" i="3"/>
  <c r="AE606" i="3" s="1"/>
  <c r="I606" i="3" l="1"/>
  <c r="J606" i="3"/>
  <c r="M606" i="3"/>
  <c r="N606" i="3" s="1"/>
  <c r="V606" i="3"/>
  <c r="A607" i="3"/>
  <c r="B607" i="3" s="1"/>
  <c r="W606" i="3" l="1"/>
  <c r="L606" i="3"/>
  <c r="Z607" i="3"/>
  <c r="AD607" i="3"/>
  <c r="AC607" i="3"/>
  <c r="P607" i="3"/>
  <c r="Q607" i="3" s="1"/>
  <c r="R607" i="3" s="1"/>
  <c r="S607" i="3" s="1"/>
  <c r="AA607" i="3"/>
  <c r="U606" i="3" l="1"/>
  <c r="Y605" i="3"/>
  <c r="T607" i="3"/>
  <c r="AH607" i="3" s="1"/>
  <c r="E607" i="3" l="1"/>
  <c r="H607" i="3" s="1"/>
  <c r="K607" i="3" s="1"/>
  <c r="AE607" i="3" s="1"/>
  <c r="D607" i="3"/>
  <c r="AG607" i="3"/>
  <c r="V607" i="3" l="1"/>
  <c r="A608" i="3"/>
  <c r="B608" i="3" s="1"/>
  <c r="F607" i="3"/>
  <c r="G607" i="3"/>
  <c r="I607" i="3" l="1"/>
  <c r="W607" i="3" s="1"/>
  <c r="J607" i="3"/>
  <c r="M607" i="3"/>
  <c r="N607" i="3" s="1"/>
  <c r="AD608" i="3"/>
  <c r="AA608" i="3"/>
  <c r="P608" i="3"/>
  <c r="Q608" i="3" s="1"/>
  <c r="R608" i="3" s="1"/>
  <c r="S608" i="3" s="1"/>
  <c r="Z608" i="3"/>
  <c r="AC608" i="3"/>
  <c r="T608" i="3" l="1"/>
  <c r="L607" i="3"/>
  <c r="AH608" i="3" l="1"/>
  <c r="AG608" i="3"/>
  <c r="U607" i="3"/>
  <c r="E608" i="3" s="1"/>
  <c r="H608" i="3" s="1"/>
  <c r="Y606" i="3"/>
  <c r="D608" i="3" l="1"/>
  <c r="G608" i="3" s="1"/>
  <c r="K608" i="3"/>
  <c r="AE608" i="3" s="1"/>
  <c r="F608" i="3" l="1"/>
  <c r="I608" i="3"/>
  <c r="J608" i="3"/>
  <c r="M608" i="3"/>
  <c r="N608" i="3" s="1"/>
  <c r="V608" i="3"/>
  <c r="A609" i="3"/>
  <c r="B609" i="3" s="1"/>
  <c r="L608" i="3" l="1"/>
  <c r="W608" i="3"/>
  <c r="Z609" i="3"/>
  <c r="P609" i="3"/>
  <c r="Q609" i="3" s="1"/>
  <c r="R609" i="3" s="1"/>
  <c r="S609" i="3" s="1"/>
  <c r="AC609" i="3"/>
  <c r="AA609" i="3"/>
  <c r="AD609" i="3"/>
  <c r="U608" i="3" l="1"/>
  <c r="Y607" i="3"/>
  <c r="T609" i="3"/>
  <c r="AG609" i="3" s="1"/>
  <c r="E609" i="3" l="1"/>
  <c r="H609" i="3" s="1"/>
  <c r="D609" i="3"/>
  <c r="AH609" i="3"/>
  <c r="K609" i="3" l="1"/>
  <c r="AE609" i="3" s="1"/>
  <c r="F609" i="3"/>
  <c r="G609" i="3"/>
  <c r="I609" i="3" l="1"/>
  <c r="J609" i="3"/>
  <c r="M609" i="3"/>
  <c r="N609" i="3" s="1"/>
  <c r="V609" i="3"/>
  <c r="A610" i="3"/>
  <c r="B610" i="3" s="1"/>
  <c r="L609" i="3" l="1"/>
  <c r="W609" i="3"/>
  <c r="AA610" i="3"/>
  <c r="P610" i="3"/>
  <c r="Q610" i="3" s="1"/>
  <c r="R610" i="3" s="1"/>
  <c r="S610" i="3" s="1"/>
  <c r="Z610" i="3"/>
  <c r="AC610" i="3"/>
  <c r="AD610" i="3"/>
  <c r="U609" i="3" l="1"/>
  <c r="Y608" i="3"/>
  <c r="T610" i="3"/>
  <c r="AG610" i="3" s="1"/>
  <c r="AH610" i="3" l="1"/>
  <c r="D610" i="3"/>
  <c r="G610" i="3" s="1"/>
  <c r="E610" i="3"/>
  <c r="H610" i="3" s="1"/>
  <c r="K610" i="3" s="1"/>
  <c r="AE610" i="3" s="1"/>
  <c r="F610" i="3" l="1"/>
  <c r="I610" i="3"/>
  <c r="J610" i="3"/>
  <c r="M610" i="3"/>
  <c r="N610" i="3" s="1"/>
  <c r="V610" i="3"/>
  <c r="A611" i="3"/>
  <c r="B611" i="3" s="1"/>
  <c r="W610" i="3" l="1"/>
  <c r="L610" i="3"/>
  <c r="AA611" i="3"/>
  <c r="P611" i="3"/>
  <c r="Q611" i="3" s="1"/>
  <c r="R611" i="3" s="1"/>
  <c r="S611" i="3" s="1"/>
  <c r="AC611" i="3"/>
  <c r="AD611" i="3"/>
  <c r="Z611" i="3"/>
  <c r="T611" i="3" l="1"/>
  <c r="U610" i="3"/>
  <c r="Y609" i="3"/>
  <c r="E611" i="3" l="1"/>
  <c r="H611" i="3" s="1"/>
  <c r="K611" i="3" s="1"/>
  <c r="AE611" i="3" s="1"/>
  <c r="AH611" i="3"/>
  <c r="AG611" i="3"/>
  <c r="D611" i="3"/>
  <c r="V611" i="3" l="1"/>
  <c r="A612" i="3"/>
  <c r="B612" i="3" s="1"/>
  <c r="F611" i="3"/>
  <c r="G611" i="3"/>
  <c r="I611" i="3" l="1"/>
  <c r="W611" i="3" s="1"/>
  <c r="J611" i="3"/>
  <c r="M611" i="3"/>
  <c r="N611" i="3" s="1"/>
  <c r="Z612" i="3"/>
  <c r="P612" i="3"/>
  <c r="Q612" i="3" s="1"/>
  <c r="R612" i="3" s="1"/>
  <c r="S612" i="3" s="1"/>
  <c r="AD612" i="3"/>
  <c r="AC612" i="3"/>
  <c r="AA612" i="3"/>
  <c r="T612" i="3" l="1"/>
  <c r="L611" i="3"/>
  <c r="U611" i="3" l="1"/>
  <c r="E612" i="3" s="1"/>
  <c r="H612" i="3" s="1"/>
  <c r="AH612" i="3"/>
  <c r="AG612" i="3"/>
  <c r="Y610" i="3"/>
  <c r="D612" i="3" l="1"/>
  <c r="G612" i="3" s="1"/>
  <c r="K612" i="3"/>
  <c r="AE612" i="3" s="1"/>
  <c r="F612" i="3" l="1"/>
  <c r="V612" i="3"/>
  <c r="A613" i="3"/>
  <c r="B613" i="3" s="1"/>
  <c r="I612" i="3"/>
  <c r="J612" i="3"/>
  <c r="M612" i="3"/>
  <c r="N612" i="3" s="1"/>
  <c r="W612" i="3" l="1"/>
  <c r="L612" i="3"/>
  <c r="P613" i="3"/>
  <c r="Q613" i="3" s="1"/>
  <c r="R613" i="3" s="1"/>
  <c r="S613" i="3" s="1"/>
  <c r="AD613" i="3"/>
  <c r="AA613" i="3"/>
  <c r="Z613" i="3"/>
  <c r="AC613" i="3"/>
  <c r="U612" i="3" l="1"/>
  <c r="Y611" i="3"/>
  <c r="T613" i="3"/>
  <c r="AG613" i="3" s="1"/>
  <c r="D613" i="3" l="1"/>
  <c r="AH613" i="3"/>
  <c r="E613" i="3"/>
  <c r="H613" i="3" s="1"/>
  <c r="F613" i="3" l="1"/>
  <c r="G613" i="3"/>
  <c r="K613" i="3"/>
  <c r="AE613" i="3" s="1"/>
  <c r="V613" i="3" l="1"/>
  <c r="A614" i="3"/>
  <c r="B614" i="3" s="1"/>
  <c r="I613" i="3"/>
  <c r="J613" i="3"/>
  <c r="M613" i="3"/>
  <c r="N613" i="3" s="1"/>
  <c r="W613" i="3" l="1"/>
  <c r="L613" i="3"/>
  <c r="AC614" i="3"/>
  <c r="AA614" i="3"/>
  <c r="Z614" i="3"/>
  <c r="P614" i="3"/>
  <c r="Q614" i="3" s="1"/>
  <c r="R614" i="3" s="1"/>
  <c r="S614" i="3" s="1"/>
  <c r="U613" i="3" l="1"/>
  <c r="Y612" i="3"/>
  <c r="T614" i="3"/>
  <c r="AG614" i="3" s="1"/>
  <c r="D614" i="3" l="1"/>
  <c r="G614" i="3" s="1"/>
  <c r="E614" i="3"/>
  <c r="H614" i="3" s="1"/>
  <c r="K614" i="3" s="1"/>
  <c r="AE614" i="3" s="1"/>
  <c r="AH614" i="3"/>
  <c r="F614" i="3" l="1"/>
  <c r="I614" i="3"/>
  <c r="J614" i="3"/>
  <c r="AD614" i="3" s="1"/>
  <c r="M614" i="3"/>
  <c r="N614" i="3" s="1"/>
  <c r="V614" i="3"/>
  <c r="A615" i="3"/>
  <c r="B615" i="3" s="1"/>
  <c r="L614" i="3" l="1"/>
  <c r="W614" i="3"/>
  <c r="P615" i="3"/>
  <c r="Q615" i="3" s="1"/>
  <c r="R615" i="3" s="1"/>
  <c r="S615" i="3" s="1"/>
  <c r="AC615" i="3"/>
  <c r="Z615" i="3"/>
  <c r="AA615" i="3"/>
  <c r="AD615" i="3"/>
  <c r="U614" i="3" l="1"/>
  <c r="Y613" i="3"/>
  <c r="T615" i="3"/>
  <c r="AH615" i="3" s="1"/>
  <c r="E615" i="3" l="1"/>
  <c r="H615" i="3" s="1"/>
  <c r="K615" i="3" s="1"/>
  <c r="AE615" i="3" s="1"/>
  <c r="AG615" i="3"/>
  <c r="D615" i="3"/>
  <c r="F615" i="3" l="1"/>
  <c r="G615" i="3"/>
  <c r="V615" i="3"/>
  <c r="A616" i="3"/>
  <c r="B616" i="3" s="1"/>
  <c r="AD616" i="3" l="1"/>
  <c r="P616" i="3"/>
  <c r="Q616" i="3" s="1"/>
  <c r="R616" i="3" s="1"/>
  <c r="S616" i="3" s="1"/>
  <c r="Z616" i="3"/>
  <c r="AC616" i="3"/>
  <c r="AA616" i="3"/>
  <c r="I615" i="3"/>
  <c r="W615" i="3" s="1"/>
  <c r="J615" i="3"/>
  <c r="M615" i="3"/>
  <c r="N615" i="3" s="1"/>
  <c r="L615" i="3" l="1"/>
  <c r="T616" i="3"/>
  <c r="U615" i="3" l="1"/>
  <c r="D616" i="3" s="1"/>
  <c r="AH616" i="3"/>
  <c r="AG616" i="3"/>
  <c r="Y614" i="3"/>
  <c r="E616" i="3" l="1"/>
  <c r="H616" i="3" s="1"/>
  <c r="K616" i="3" s="1"/>
  <c r="AE616" i="3" s="1"/>
  <c r="G616" i="3"/>
  <c r="F616" i="3" l="1"/>
  <c r="I616" i="3"/>
  <c r="J616" i="3"/>
  <c r="M616" i="3"/>
  <c r="N616" i="3" s="1"/>
  <c r="V616" i="3"/>
  <c r="A617" i="3"/>
  <c r="B617" i="3" s="1"/>
  <c r="W616" i="3" l="1"/>
  <c r="L616" i="3"/>
  <c r="Z617" i="3"/>
  <c r="AC617" i="3"/>
  <c r="AD617" i="3"/>
  <c r="P617" i="3"/>
  <c r="Q617" i="3" s="1"/>
  <c r="R617" i="3" s="1"/>
  <c r="S617" i="3" s="1"/>
  <c r="AA617" i="3"/>
  <c r="U616" i="3" l="1"/>
  <c r="Y615" i="3"/>
  <c r="T617" i="3"/>
  <c r="AG617" i="3" s="1"/>
  <c r="D617" i="3" l="1"/>
  <c r="G617" i="3" s="1"/>
  <c r="E617" i="3"/>
  <c r="H617" i="3" s="1"/>
  <c r="K617" i="3" s="1"/>
  <c r="AE617" i="3" s="1"/>
  <c r="AH617" i="3"/>
  <c r="F617" i="3" l="1"/>
  <c r="I617" i="3"/>
  <c r="J617" i="3"/>
  <c r="M617" i="3"/>
  <c r="N617" i="3" s="1"/>
  <c r="V617" i="3"/>
  <c r="A618" i="3"/>
  <c r="B618" i="3" s="1"/>
  <c r="W617" i="3" l="1"/>
  <c r="L617" i="3"/>
  <c r="P618" i="3"/>
  <c r="Q618" i="3" s="1"/>
  <c r="R618" i="3" s="1"/>
  <c r="S618" i="3" s="1"/>
  <c r="AD618" i="3"/>
  <c r="Z618" i="3"/>
  <c r="AC618" i="3"/>
  <c r="AA618" i="3"/>
  <c r="U617" i="3" l="1"/>
  <c r="Y616" i="3"/>
  <c r="T618" i="3"/>
  <c r="E618" i="3" l="1"/>
  <c r="H618" i="3" s="1"/>
  <c r="K618" i="3" s="1"/>
  <c r="AE618" i="3" s="1"/>
  <c r="AG618" i="3"/>
  <c r="D618" i="3"/>
  <c r="AH618" i="3"/>
  <c r="F618" i="3" l="1"/>
  <c r="G618" i="3"/>
  <c r="V618" i="3"/>
  <c r="A619" i="3"/>
  <c r="B619" i="3" s="1"/>
  <c r="P619" i="3" l="1"/>
  <c r="Q619" i="3" s="1"/>
  <c r="R619" i="3" s="1"/>
  <c r="S619" i="3" s="1"/>
  <c r="AD619" i="3"/>
  <c r="AA619" i="3"/>
  <c r="AC619" i="3"/>
  <c r="Z619" i="3"/>
  <c r="I618" i="3"/>
  <c r="W618" i="3" s="1"/>
  <c r="J618" i="3"/>
  <c r="M618" i="3"/>
  <c r="N618" i="3" s="1"/>
  <c r="T619" i="3" l="1"/>
  <c r="L618" i="3"/>
  <c r="AH619" i="3" l="1"/>
  <c r="AG619" i="3"/>
  <c r="U618" i="3"/>
  <c r="D619" i="3" s="1"/>
  <c r="Y617" i="3"/>
  <c r="E619" i="3" l="1"/>
  <c r="H619" i="3" s="1"/>
  <c r="K619" i="3" s="1"/>
  <c r="AE619" i="3" s="1"/>
  <c r="G619" i="3"/>
  <c r="F619" i="3" l="1"/>
  <c r="I619" i="3"/>
  <c r="J619" i="3"/>
  <c r="M619" i="3"/>
  <c r="N619" i="3" s="1"/>
  <c r="V619" i="3"/>
  <c r="A620" i="3"/>
  <c r="B620" i="3" s="1"/>
  <c r="W619" i="3" l="1"/>
  <c r="L619" i="3"/>
  <c r="AC620" i="3"/>
  <c r="AD620" i="3"/>
  <c r="P620" i="3"/>
  <c r="Q620" i="3" s="1"/>
  <c r="R620" i="3" s="1"/>
  <c r="S620" i="3" s="1"/>
  <c r="AA620" i="3"/>
  <c r="Z620" i="3"/>
  <c r="T620" i="3" l="1"/>
  <c r="AH620" i="3" s="1"/>
  <c r="U619" i="3"/>
  <c r="Y618" i="3"/>
  <c r="E620" i="3" l="1"/>
  <c r="H620" i="3" s="1"/>
  <c r="K620" i="3" s="1"/>
  <c r="AE620" i="3" s="1"/>
  <c r="D620" i="3"/>
  <c r="G620" i="3" s="1"/>
  <c r="AG620" i="3"/>
  <c r="F620" i="3" l="1"/>
  <c r="I620" i="3"/>
  <c r="J620" i="3"/>
  <c r="M620" i="3"/>
  <c r="N620" i="3" s="1"/>
  <c r="V620" i="3"/>
  <c r="A621" i="3"/>
  <c r="B621" i="3" s="1"/>
  <c r="W620" i="3" l="1"/>
  <c r="L620" i="3"/>
  <c r="AD621" i="3"/>
  <c r="AC621" i="3"/>
  <c r="AA621" i="3"/>
  <c r="P621" i="3"/>
  <c r="Q621" i="3" s="1"/>
  <c r="R621" i="3" s="1"/>
  <c r="S621" i="3" s="1"/>
  <c r="Z621" i="3"/>
  <c r="U620" i="3" l="1"/>
  <c r="Y619" i="3"/>
  <c r="T621" i="3"/>
  <c r="D621" i="3" l="1"/>
  <c r="G621" i="3" s="1"/>
  <c r="AH621" i="3"/>
  <c r="E621" i="3"/>
  <c r="H621" i="3" s="1"/>
  <c r="AG621" i="3"/>
  <c r="F621" i="3" l="1"/>
  <c r="I621" i="3"/>
  <c r="J621" i="3"/>
  <c r="M621" i="3"/>
  <c r="N621" i="3" s="1"/>
  <c r="K621" i="3"/>
  <c r="AE621" i="3" s="1"/>
  <c r="V621" i="3" l="1"/>
  <c r="W621" i="3" s="1"/>
  <c r="A622" i="3"/>
  <c r="B622" i="3" s="1"/>
  <c r="L621" i="3"/>
  <c r="U621" i="3" l="1"/>
  <c r="Y620" i="3"/>
  <c r="AA622" i="3"/>
  <c r="AC622" i="3"/>
  <c r="P622" i="3"/>
  <c r="Q622" i="3" s="1"/>
  <c r="R622" i="3" s="1"/>
  <c r="S622" i="3" s="1"/>
  <c r="Z622" i="3"/>
  <c r="AD622" i="3"/>
  <c r="T622" i="3" l="1"/>
  <c r="AG622" i="3" s="1"/>
  <c r="D622" i="3" l="1"/>
  <c r="E622" i="3"/>
  <c r="H622" i="3" s="1"/>
  <c r="K622" i="3" s="1"/>
  <c r="AE622" i="3" s="1"/>
  <c r="AH622" i="3"/>
  <c r="F622" i="3" l="1"/>
  <c r="G622" i="3"/>
  <c r="I622" i="3" s="1"/>
  <c r="V622" i="3"/>
  <c r="A623" i="3"/>
  <c r="B623" i="3" s="1"/>
  <c r="M622" i="3" l="1"/>
  <c r="N622" i="3" s="1"/>
  <c r="J622" i="3"/>
  <c r="L622" i="3" s="1"/>
  <c r="W622" i="3"/>
  <c r="P623" i="3"/>
  <c r="Q623" i="3" s="1"/>
  <c r="R623" i="3" s="1"/>
  <c r="S623" i="3" s="1"/>
  <c r="Z623" i="3"/>
  <c r="AD623" i="3"/>
  <c r="AA623" i="3"/>
  <c r="AC623" i="3"/>
  <c r="U622" i="3" l="1"/>
  <c r="Y621" i="3"/>
  <c r="T623" i="3"/>
  <c r="D623" i="3" l="1"/>
  <c r="G623" i="3" s="1"/>
  <c r="AH623" i="3"/>
  <c r="AG623" i="3"/>
  <c r="E623" i="3"/>
  <c r="H623" i="3" s="1"/>
  <c r="K623" i="3" l="1"/>
  <c r="AE623" i="3" s="1"/>
  <c r="I623" i="3"/>
  <c r="J623" i="3"/>
  <c r="M623" i="3"/>
  <c r="N623" i="3" s="1"/>
  <c r="F623" i="3"/>
  <c r="L623" i="3" l="1"/>
  <c r="V623" i="3"/>
  <c r="W623" i="3" s="1"/>
  <c r="A624" i="3"/>
  <c r="B624" i="3" s="1"/>
  <c r="U623" i="3" l="1"/>
  <c r="Y622" i="3"/>
  <c r="AA624" i="3"/>
  <c r="Z624" i="3"/>
  <c r="AC624" i="3"/>
  <c r="P624" i="3"/>
  <c r="Q624" i="3" s="1"/>
  <c r="R624" i="3" s="1"/>
  <c r="S624" i="3" s="1"/>
  <c r="T624" i="3" l="1"/>
  <c r="D624" i="3" s="1"/>
  <c r="AG624" i="3" l="1"/>
  <c r="AH624" i="3"/>
  <c r="E624" i="3"/>
  <c r="H624" i="3" s="1"/>
  <c r="K624" i="3" s="1"/>
  <c r="AE624" i="3" s="1"/>
  <c r="G624" i="3"/>
  <c r="F624" i="3" l="1"/>
  <c r="I624" i="3"/>
  <c r="J624" i="3"/>
  <c r="AD624" i="3" s="1"/>
  <c r="M624" i="3"/>
  <c r="N624" i="3" s="1"/>
  <c r="V624" i="3"/>
  <c r="A625" i="3"/>
  <c r="B625" i="3" s="1"/>
  <c r="W624" i="3" l="1"/>
  <c r="L624" i="3"/>
  <c r="P625" i="3"/>
  <c r="Q625" i="3" s="1"/>
  <c r="R625" i="3" s="1"/>
  <c r="S625" i="3" s="1"/>
  <c r="AD625" i="3"/>
  <c r="AA625" i="3"/>
  <c r="Z625" i="3"/>
  <c r="AC625" i="3"/>
  <c r="U624" i="3" l="1"/>
  <c r="Y623" i="3"/>
  <c r="T625" i="3"/>
  <c r="D625" i="3" l="1"/>
  <c r="G625" i="3" s="1"/>
  <c r="E625" i="3"/>
  <c r="H625" i="3" s="1"/>
  <c r="AH625" i="3"/>
  <c r="AG625" i="3"/>
  <c r="F625" i="3" l="1"/>
  <c r="I625" i="3"/>
  <c r="J625" i="3"/>
  <c r="M625" i="3"/>
  <c r="N625" i="3" s="1"/>
  <c r="K625" i="3"/>
  <c r="AE625" i="3" s="1"/>
  <c r="V625" i="3" l="1"/>
  <c r="W625" i="3" s="1"/>
  <c r="A626" i="3"/>
  <c r="B626" i="3" s="1"/>
  <c r="L625" i="3"/>
  <c r="U625" i="3" l="1"/>
  <c r="Y624" i="3"/>
  <c r="AD626" i="3"/>
  <c r="Z626" i="3"/>
  <c r="AC626" i="3"/>
  <c r="P626" i="3"/>
  <c r="Q626" i="3" s="1"/>
  <c r="R626" i="3" s="1"/>
  <c r="S626" i="3" s="1"/>
  <c r="AA626" i="3"/>
  <c r="T626" i="3" l="1"/>
  <c r="E626" i="3" s="1"/>
  <c r="H626" i="3" s="1"/>
  <c r="AG626" i="3" l="1"/>
  <c r="K626" i="3"/>
  <c r="AE626" i="3" s="1"/>
  <c r="D626" i="3"/>
  <c r="AH626" i="3"/>
  <c r="V626" i="3" l="1"/>
  <c r="A627" i="3"/>
  <c r="B627" i="3" s="1"/>
  <c r="F626" i="3"/>
  <c r="G626" i="3"/>
  <c r="I626" i="3" l="1"/>
  <c r="W626" i="3" s="1"/>
  <c r="J626" i="3"/>
  <c r="M626" i="3"/>
  <c r="N626" i="3" s="1"/>
  <c r="Z627" i="3"/>
  <c r="AD627" i="3"/>
  <c r="P627" i="3"/>
  <c r="Q627" i="3" s="1"/>
  <c r="R627" i="3" s="1"/>
  <c r="S627" i="3" s="1"/>
  <c r="AC627" i="3"/>
  <c r="AA627" i="3"/>
  <c r="L626" i="3" l="1"/>
  <c r="T627" i="3"/>
  <c r="AG627" i="3" l="1"/>
  <c r="U626" i="3"/>
  <c r="D627" i="3" s="1"/>
  <c r="AH627" i="3"/>
  <c r="Y625" i="3"/>
  <c r="G627" i="3" l="1"/>
  <c r="E627" i="3"/>
  <c r="H627" i="3" s="1"/>
  <c r="K627" i="3" l="1"/>
  <c r="AE627" i="3" s="1"/>
  <c r="I627" i="3"/>
  <c r="J627" i="3"/>
  <c r="M627" i="3"/>
  <c r="N627" i="3" s="1"/>
  <c r="F627" i="3"/>
  <c r="L627" i="3" l="1"/>
  <c r="V627" i="3"/>
  <c r="W627" i="3" s="1"/>
  <c r="A628" i="3"/>
  <c r="B628" i="3" s="1"/>
  <c r="Z628" i="3" l="1"/>
  <c r="AA628" i="3"/>
  <c r="P628" i="3"/>
  <c r="Q628" i="3" s="1"/>
  <c r="R628" i="3" s="1"/>
  <c r="S628" i="3" s="1"/>
  <c r="AC628" i="3"/>
  <c r="AD628" i="3"/>
  <c r="U627" i="3"/>
  <c r="Y626" i="3"/>
  <c r="T628" i="3" l="1"/>
  <c r="D628" i="3" l="1"/>
  <c r="E628" i="3"/>
  <c r="H628" i="3" s="1"/>
  <c r="AG628" i="3"/>
  <c r="AH628" i="3"/>
  <c r="F628" i="3" l="1"/>
  <c r="G628" i="3"/>
  <c r="K628" i="3"/>
  <c r="AE628" i="3" s="1"/>
  <c r="I628" i="3" l="1"/>
  <c r="J628" i="3"/>
  <c r="M628" i="3"/>
  <c r="N628" i="3" s="1"/>
  <c r="V628" i="3"/>
  <c r="A629" i="3"/>
  <c r="B629" i="3" s="1"/>
  <c r="W628" i="3" l="1"/>
  <c r="L628" i="3"/>
  <c r="AC629" i="3"/>
  <c r="AA629" i="3"/>
  <c r="P629" i="3"/>
  <c r="Q629" i="3" s="1"/>
  <c r="R629" i="3" s="1"/>
  <c r="S629" i="3" s="1"/>
  <c r="AD629" i="3"/>
  <c r="Z629" i="3"/>
  <c r="T629" i="3" l="1"/>
  <c r="U628" i="3"/>
  <c r="Y627" i="3"/>
  <c r="E629" i="3" l="1"/>
  <c r="H629" i="3" s="1"/>
  <c r="K629" i="3" s="1"/>
  <c r="AE629" i="3" s="1"/>
  <c r="AH629" i="3"/>
  <c r="AG629" i="3"/>
  <c r="D629" i="3"/>
  <c r="F629" i="3" l="1"/>
  <c r="G629" i="3"/>
  <c r="V629" i="3"/>
  <c r="A630" i="3"/>
  <c r="B630" i="3" s="1"/>
  <c r="I629" i="3" l="1"/>
  <c r="W629" i="3" s="1"/>
  <c r="J629" i="3"/>
  <c r="M629" i="3"/>
  <c r="N629" i="3" s="1"/>
  <c r="AD630" i="3"/>
  <c r="P630" i="3"/>
  <c r="Q630" i="3" s="1"/>
  <c r="R630" i="3" s="1"/>
  <c r="S630" i="3" s="1"/>
  <c r="AC630" i="3"/>
  <c r="AA630" i="3"/>
  <c r="Z630" i="3"/>
  <c r="T630" i="3" l="1"/>
  <c r="L629" i="3"/>
  <c r="U629" i="3" l="1"/>
  <c r="D630" i="3" s="1"/>
  <c r="AH630" i="3"/>
  <c r="AG630" i="3"/>
  <c r="Y628" i="3"/>
  <c r="G630" i="3" l="1"/>
  <c r="E630" i="3"/>
  <c r="H630" i="3" s="1"/>
  <c r="F630" i="3" l="1"/>
  <c r="K630" i="3"/>
  <c r="AE630" i="3" s="1"/>
  <c r="I630" i="3"/>
  <c r="J630" i="3"/>
  <c r="M630" i="3"/>
  <c r="N630" i="3" s="1"/>
  <c r="V630" i="3" l="1"/>
  <c r="W630" i="3" s="1"/>
  <c r="A631" i="3"/>
  <c r="B631" i="3" s="1"/>
  <c r="L630" i="3"/>
  <c r="U630" i="3" l="1"/>
  <c r="Y629" i="3"/>
  <c r="AD631" i="3"/>
  <c r="P631" i="3"/>
  <c r="Q631" i="3" s="1"/>
  <c r="R631" i="3" s="1"/>
  <c r="S631" i="3" s="1"/>
  <c r="AC631" i="3"/>
  <c r="AA631" i="3"/>
  <c r="Z631" i="3"/>
  <c r="T631" i="3" l="1"/>
  <c r="D631" i="3" s="1"/>
  <c r="AH631" i="3" l="1"/>
  <c r="E631" i="3"/>
  <c r="H631" i="3" s="1"/>
  <c r="K631" i="3" s="1"/>
  <c r="AE631" i="3" s="1"/>
  <c r="G631" i="3"/>
  <c r="AG631" i="3"/>
  <c r="F631" i="3" l="1"/>
  <c r="I631" i="3"/>
  <c r="J631" i="3"/>
  <c r="M631" i="3"/>
  <c r="N631" i="3" s="1"/>
  <c r="V631" i="3"/>
  <c r="A632" i="3"/>
  <c r="B632" i="3" s="1"/>
  <c r="L631" i="3" l="1"/>
  <c r="W631" i="3"/>
  <c r="AC632" i="3"/>
  <c r="AA632" i="3"/>
  <c r="Z632" i="3"/>
  <c r="P632" i="3"/>
  <c r="Q632" i="3" s="1"/>
  <c r="R632" i="3" s="1"/>
  <c r="S632" i="3" s="1"/>
  <c r="AD632" i="3"/>
  <c r="T632" i="3" l="1"/>
  <c r="U631" i="3"/>
  <c r="Y630" i="3"/>
  <c r="D632" i="3" l="1"/>
  <c r="G632" i="3" s="1"/>
  <c r="E632" i="3"/>
  <c r="H632" i="3" s="1"/>
  <c r="K632" i="3" s="1"/>
  <c r="AE632" i="3" s="1"/>
  <c r="AG632" i="3"/>
  <c r="AH632" i="3"/>
  <c r="F632" i="3" l="1"/>
  <c r="I632" i="3"/>
  <c r="J632" i="3"/>
  <c r="M632" i="3"/>
  <c r="N632" i="3" s="1"/>
  <c r="V632" i="3"/>
  <c r="A633" i="3"/>
  <c r="B633" i="3" s="1"/>
  <c r="W632" i="3" l="1"/>
  <c r="L632" i="3"/>
  <c r="AD633" i="3"/>
  <c r="Z633" i="3"/>
  <c r="AC633" i="3"/>
  <c r="P633" i="3"/>
  <c r="Q633" i="3" s="1"/>
  <c r="R633" i="3" s="1"/>
  <c r="S633" i="3" s="1"/>
  <c r="AA633" i="3"/>
  <c r="U632" i="3" l="1"/>
  <c r="Y631" i="3"/>
  <c r="T633" i="3"/>
  <c r="AG633" i="3" s="1"/>
  <c r="D633" i="3" l="1"/>
  <c r="G633" i="3" s="1"/>
  <c r="E633" i="3"/>
  <c r="H633" i="3" s="1"/>
  <c r="K633" i="3" s="1"/>
  <c r="AE633" i="3" s="1"/>
  <c r="AH633" i="3"/>
  <c r="F633" i="3" l="1"/>
  <c r="V633" i="3"/>
  <c r="A634" i="3"/>
  <c r="B634" i="3" s="1"/>
  <c r="I633" i="3"/>
  <c r="J633" i="3"/>
  <c r="M633" i="3"/>
  <c r="N633" i="3" s="1"/>
  <c r="L633" i="3" l="1"/>
  <c r="W633" i="3"/>
  <c r="P634" i="3"/>
  <c r="Q634" i="3" s="1"/>
  <c r="R634" i="3" s="1"/>
  <c r="S634" i="3" s="1"/>
  <c r="AA634" i="3"/>
  <c r="AC634" i="3"/>
  <c r="Z634" i="3"/>
  <c r="U633" i="3" l="1"/>
  <c r="Y632" i="3"/>
  <c r="T634" i="3"/>
  <c r="AH634" i="3" s="1"/>
  <c r="E634" i="3" l="1"/>
  <c r="H634" i="3" s="1"/>
  <c r="K634" i="3" s="1"/>
  <c r="AE634" i="3" s="1"/>
  <c r="AG634" i="3"/>
  <c r="D634" i="3"/>
  <c r="F634" i="3" l="1"/>
  <c r="G634" i="3"/>
  <c r="V634" i="3"/>
  <c r="A635" i="3"/>
  <c r="B635" i="3" s="1"/>
  <c r="Z635" i="3" l="1"/>
  <c r="AA635" i="3"/>
  <c r="P635" i="3"/>
  <c r="Q635" i="3" s="1"/>
  <c r="R635" i="3" s="1"/>
  <c r="S635" i="3" s="1"/>
  <c r="AD635" i="3"/>
  <c r="AC635" i="3"/>
  <c r="I634" i="3"/>
  <c r="W634" i="3" s="1"/>
  <c r="J634" i="3"/>
  <c r="AD634" i="3" s="1"/>
  <c r="M634" i="3"/>
  <c r="N634" i="3" s="1"/>
  <c r="T635" i="3" l="1"/>
  <c r="L634" i="3"/>
  <c r="AH635" i="3" l="1"/>
  <c r="U634" i="3"/>
  <c r="D635" i="3" s="1"/>
  <c r="AG635" i="3"/>
  <c r="Y633" i="3"/>
  <c r="E635" i="3" l="1"/>
  <c r="H635" i="3" s="1"/>
  <c r="K635" i="3" s="1"/>
  <c r="AE635" i="3" s="1"/>
  <c r="G635" i="3"/>
  <c r="F635" i="3" l="1"/>
  <c r="I635" i="3"/>
  <c r="J635" i="3"/>
  <c r="M635" i="3"/>
  <c r="N635" i="3" s="1"/>
  <c r="V635" i="3"/>
  <c r="A636" i="3"/>
  <c r="B636" i="3" s="1"/>
  <c r="W635" i="3" l="1"/>
  <c r="L635" i="3"/>
  <c r="AC636" i="3"/>
  <c r="AD636" i="3"/>
  <c r="AA636" i="3"/>
  <c r="P636" i="3"/>
  <c r="Q636" i="3" s="1"/>
  <c r="R636" i="3" s="1"/>
  <c r="S636" i="3" s="1"/>
  <c r="Z636" i="3"/>
  <c r="U635" i="3" l="1"/>
  <c r="Y634" i="3"/>
  <c r="T636" i="3"/>
  <c r="AG636" i="3" s="1"/>
  <c r="AH636" i="3" l="1"/>
  <c r="D636" i="3"/>
  <c r="E636" i="3"/>
  <c r="H636" i="3" s="1"/>
  <c r="F636" i="3" l="1"/>
  <c r="G636" i="3"/>
  <c r="K636" i="3"/>
  <c r="AE636" i="3" s="1"/>
  <c r="I636" i="3" l="1"/>
  <c r="J636" i="3"/>
  <c r="M636" i="3"/>
  <c r="N636" i="3" s="1"/>
  <c r="V636" i="3"/>
  <c r="A637" i="3"/>
  <c r="B637" i="3" s="1"/>
  <c r="W636" i="3" l="1"/>
  <c r="L636" i="3"/>
  <c r="Z637" i="3"/>
  <c r="P637" i="3"/>
  <c r="Q637" i="3" s="1"/>
  <c r="R637" i="3" s="1"/>
  <c r="S637" i="3" s="1"/>
  <c r="AC637" i="3"/>
  <c r="AD637" i="3"/>
  <c r="AA637" i="3"/>
  <c r="U636" i="3" l="1"/>
  <c r="Y635" i="3"/>
  <c r="T637" i="3"/>
  <c r="AG637" i="3" s="1"/>
  <c r="D637" i="3" l="1"/>
  <c r="AH637" i="3"/>
  <c r="E637" i="3"/>
  <c r="H637" i="3" s="1"/>
  <c r="F637" i="3" l="1"/>
  <c r="G637" i="3"/>
  <c r="K637" i="3"/>
  <c r="AE637" i="3" s="1"/>
  <c r="I637" i="3" l="1"/>
  <c r="J637" i="3"/>
  <c r="M637" i="3"/>
  <c r="N637" i="3" s="1"/>
  <c r="V637" i="3"/>
  <c r="A638" i="3"/>
  <c r="B638" i="3" s="1"/>
  <c r="W637" i="3" l="1"/>
  <c r="L637" i="3"/>
  <c r="P638" i="3"/>
  <c r="Q638" i="3" s="1"/>
  <c r="R638" i="3" s="1"/>
  <c r="S638" i="3" s="1"/>
  <c r="AD638" i="3"/>
  <c r="AC638" i="3"/>
  <c r="AA638" i="3"/>
  <c r="Z638" i="3"/>
  <c r="T638" i="3" l="1"/>
  <c r="AG638" i="3" s="1"/>
  <c r="U637" i="3"/>
  <c r="Y636" i="3"/>
  <c r="D638" i="3" l="1"/>
  <c r="G638" i="3" s="1"/>
  <c r="E638" i="3"/>
  <c r="H638" i="3" s="1"/>
  <c r="AH638" i="3"/>
  <c r="F638" i="3" l="1"/>
  <c r="I638" i="3"/>
  <c r="J638" i="3"/>
  <c r="M638" i="3"/>
  <c r="N638" i="3" s="1"/>
  <c r="K638" i="3"/>
  <c r="AE638" i="3" s="1"/>
  <c r="V638" i="3" l="1"/>
  <c r="W638" i="3" s="1"/>
  <c r="A639" i="3"/>
  <c r="B639" i="3" s="1"/>
  <c r="L638" i="3"/>
  <c r="U638" i="3" l="1"/>
  <c r="Y637" i="3"/>
  <c r="AC639" i="3"/>
  <c r="P639" i="3"/>
  <c r="Q639" i="3" s="1"/>
  <c r="R639" i="3" s="1"/>
  <c r="S639" i="3" s="1"/>
  <c r="AA639" i="3"/>
  <c r="AD639" i="3"/>
  <c r="Z639" i="3"/>
  <c r="T639" i="3" l="1"/>
  <c r="D639" i="3" s="1"/>
  <c r="AG639" i="3" l="1"/>
  <c r="E639" i="3"/>
  <c r="H639" i="3" s="1"/>
  <c r="K639" i="3" s="1"/>
  <c r="AE639" i="3" s="1"/>
  <c r="AH639" i="3"/>
  <c r="G639" i="3"/>
  <c r="F639" i="3" l="1"/>
  <c r="V639" i="3"/>
  <c r="A640" i="3"/>
  <c r="B640" i="3" s="1"/>
  <c r="I639" i="3"/>
  <c r="J639" i="3"/>
  <c r="M639" i="3"/>
  <c r="N639" i="3" s="1"/>
  <c r="W639" i="3" l="1"/>
  <c r="L639" i="3"/>
  <c r="AD640" i="3"/>
  <c r="P640" i="3"/>
  <c r="Q640" i="3" s="1"/>
  <c r="R640" i="3" s="1"/>
  <c r="S640" i="3" s="1"/>
  <c r="AA640" i="3"/>
  <c r="AC640" i="3"/>
  <c r="Z640" i="3"/>
  <c r="U639" i="3" l="1"/>
  <c r="Y638" i="3"/>
  <c r="T640" i="3"/>
  <c r="E640" i="3" l="1"/>
  <c r="H640" i="3" s="1"/>
  <c r="K640" i="3" s="1"/>
  <c r="AE640" i="3" s="1"/>
  <c r="D640" i="3"/>
  <c r="AG640" i="3"/>
  <c r="AH640" i="3"/>
  <c r="F640" i="3" l="1"/>
  <c r="G640" i="3"/>
  <c r="V640" i="3"/>
  <c r="A641" i="3"/>
  <c r="B641" i="3" s="1"/>
  <c r="AC641" i="3" l="1"/>
  <c r="AA641" i="3"/>
  <c r="AD641" i="3"/>
  <c r="Z641" i="3"/>
  <c r="P641" i="3"/>
  <c r="Q641" i="3" s="1"/>
  <c r="R641" i="3" s="1"/>
  <c r="S641" i="3" s="1"/>
  <c r="I640" i="3"/>
  <c r="W640" i="3" s="1"/>
  <c r="J640" i="3"/>
  <c r="M640" i="3"/>
  <c r="N640" i="3" s="1"/>
  <c r="L640" i="3" l="1"/>
  <c r="T641" i="3"/>
  <c r="U640" i="3" l="1"/>
  <c r="E641" i="3" s="1"/>
  <c r="H641" i="3" s="1"/>
  <c r="AG641" i="3"/>
  <c r="AH641" i="3"/>
  <c r="Y639" i="3"/>
  <c r="K641" i="3" l="1"/>
  <c r="AE641" i="3" s="1"/>
  <c r="D641" i="3"/>
  <c r="V641" i="3" l="1"/>
  <c r="A642" i="3"/>
  <c r="B642" i="3" s="1"/>
  <c r="F641" i="3"/>
  <c r="G641" i="3"/>
  <c r="I641" i="3" l="1"/>
  <c r="W641" i="3" s="1"/>
  <c r="J641" i="3"/>
  <c r="M641" i="3"/>
  <c r="N641" i="3" s="1"/>
  <c r="Z642" i="3"/>
  <c r="AD642" i="3"/>
  <c r="P642" i="3"/>
  <c r="Q642" i="3" s="1"/>
  <c r="R642" i="3" s="1"/>
  <c r="S642" i="3" s="1"/>
  <c r="AC642" i="3"/>
  <c r="AA642" i="3"/>
  <c r="T642" i="3" l="1"/>
  <c r="L641" i="3"/>
  <c r="U641" i="3" l="1"/>
  <c r="D642" i="3" s="1"/>
  <c r="AG642" i="3"/>
  <c r="AH642" i="3"/>
  <c r="Y640" i="3"/>
  <c r="E642" i="3" l="1"/>
  <c r="H642" i="3" s="1"/>
  <c r="K642" i="3" s="1"/>
  <c r="AE642" i="3" s="1"/>
  <c r="G642" i="3"/>
  <c r="F642" i="3" l="1"/>
  <c r="I642" i="3"/>
  <c r="J642" i="3"/>
  <c r="M642" i="3"/>
  <c r="N642" i="3" s="1"/>
  <c r="V642" i="3"/>
  <c r="A643" i="3"/>
  <c r="B643" i="3" s="1"/>
  <c r="W642" i="3" l="1"/>
  <c r="L642" i="3"/>
  <c r="AA643" i="3"/>
  <c r="AD643" i="3"/>
  <c r="AC643" i="3"/>
  <c r="P643" i="3"/>
  <c r="Q643" i="3" s="1"/>
  <c r="R643" i="3" s="1"/>
  <c r="S643" i="3" s="1"/>
  <c r="Z643" i="3"/>
  <c r="U642" i="3" l="1"/>
  <c r="Y641" i="3"/>
  <c r="T643" i="3"/>
  <c r="AH643" i="3" s="1"/>
  <c r="AG643" i="3" l="1"/>
  <c r="E643" i="3"/>
  <c r="H643" i="3" s="1"/>
  <c r="K643" i="3" s="1"/>
  <c r="AE643" i="3" s="1"/>
  <c r="D643" i="3"/>
  <c r="F643" i="3" l="1"/>
  <c r="G643" i="3"/>
  <c r="M643" i="3" s="1"/>
  <c r="N643" i="3" s="1"/>
  <c r="V643" i="3"/>
  <c r="A644" i="3"/>
  <c r="B644" i="3" s="1"/>
  <c r="I643" i="3" l="1"/>
  <c r="W643" i="3" s="1"/>
  <c r="J643" i="3"/>
  <c r="L643" i="3" s="1"/>
  <c r="P644" i="3"/>
  <c r="Q644" i="3" s="1"/>
  <c r="R644" i="3" s="1"/>
  <c r="S644" i="3" s="1"/>
  <c r="AA644" i="3"/>
  <c r="AC644" i="3"/>
  <c r="Z644" i="3"/>
  <c r="U643" i="3" l="1"/>
  <c r="Y642" i="3"/>
  <c r="T644" i="3"/>
  <c r="AG644" i="3" s="1"/>
  <c r="AH644" i="3" l="1"/>
  <c r="D644" i="3"/>
  <c r="E644" i="3"/>
  <c r="H644" i="3" s="1"/>
  <c r="K644" i="3" l="1"/>
  <c r="AE644" i="3" s="1"/>
  <c r="F644" i="3"/>
  <c r="G644" i="3"/>
  <c r="I644" i="3" l="1"/>
  <c r="J644" i="3"/>
  <c r="AD644" i="3" s="1"/>
  <c r="M644" i="3"/>
  <c r="N644" i="3" s="1"/>
  <c r="V644" i="3"/>
  <c r="A645" i="3"/>
  <c r="B645" i="3" s="1"/>
  <c r="L644" i="3" l="1"/>
  <c r="W644" i="3"/>
  <c r="Z645" i="3"/>
  <c r="P645" i="3"/>
  <c r="Q645" i="3" s="1"/>
  <c r="R645" i="3" s="1"/>
  <c r="S645" i="3" s="1"/>
  <c r="AD645" i="3"/>
  <c r="AA645" i="3"/>
  <c r="AC645" i="3"/>
  <c r="U644" i="3" l="1"/>
  <c r="Y643" i="3"/>
  <c r="T645" i="3"/>
  <c r="AG645" i="3" s="1"/>
  <c r="D645" i="3" l="1"/>
  <c r="AH645" i="3"/>
  <c r="E645" i="3"/>
  <c r="H645" i="3" s="1"/>
  <c r="F645" i="3" l="1"/>
  <c r="G645" i="3"/>
  <c r="K645" i="3"/>
  <c r="AE645" i="3" s="1"/>
  <c r="I645" i="3" l="1"/>
  <c r="J645" i="3"/>
  <c r="M645" i="3"/>
  <c r="N645" i="3" s="1"/>
  <c r="V645" i="3"/>
  <c r="A646" i="3"/>
  <c r="B646" i="3" s="1"/>
  <c r="W645" i="3" l="1"/>
  <c r="L645" i="3"/>
  <c r="AA646" i="3"/>
  <c r="Z646" i="3"/>
  <c r="AC646" i="3"/>
  <c r="AD646" i="3"/>
  <c r="P646" i="3"/>
  <c r="Q646" i="3" s="1"/>
  <c r="R646" i="3" s="1"/>
  <c r="S646" i="3" s="1"/>
  <c r="U645" i="3" l="1"/>
  <c r="Y644" i="3"/>
  <c r="T646" i="3"/>
  <c r="AG646" i="3" s="1"/>
  <c r="E646" i="3" l="1"/>
  <c r="H646" i="3" s="1"/>
  <c r="D646" i="3"/>
  <c r="AH646" i="3"/>
  <c r="F646" i="3" l="1"/>
  <c r="G646" i="3"/>
  <c r="K646" i="3"/>
  <c r="AE646" i="3" s="1"/>
  <c r="I646" i="3" l="1"/>
  <c r="J646" i="3"/>
  <c r="M646" i="3"/>
  <c r="N646" i="3" s="1"/>
  <c r="V646" i="3"/>
  <c r="A647" i="3"/>
  <c r="B647" i="3" s="1"/>
  <c r="L646" i="3" l="1"/>
  <c r="W646" i="3"/>
  <c r="P647" i="3"/>
  <c r="Q647" i="3" s="1"/>
  <c r="R647" i="3" s="1"/>
  <c r="S647" i="3" s="1"/>
  <c r="AC647" i="3"/>
  <c r="AA647" i="3"/>
  <c r="AD647" i="3"/>
  <c r="Z647" i="3"/>
  <c r="U646" i="3" l="1"/>
  <c r="Y645" i="3"/>
  <c r="T647" i="3"/>
  <c r="AG647" i="3" s="1"/>
  <c r="E647" i="3" l="1"/>
  <c r="H647" i="3" s="1"/>
  <c r="D647" i="3"/>
  <c r="AH647" i="3"/>
  <c r="F647" i="3" l="1"/>
  <c r="G647" i="3"/>
  <c r="K647" i="3"/>
  <c r="AE647" i="3" s="1"/>
  <c r="V647" i="3" l="1"/>
  <c r="A648" i="3"/>
  <c r="B648" i="3" s="1"/>
  <c r="I647" i="3"/>
  <c r="J647" i="3"/>
  <c r="M647" i="3"/>
  <c r="N647" i="3" s="1"/>
  <c r="W647" i="3" l="1"/>
  <c r="L647" i="3"/>
  <c r="AC648" i="3"/>
  <c r="AA648" i="3"/>
  <c r="P648" i="3"/>
  <c r="Q648" i="3" s="1"/>
  <c r="R648" i="3" s="1"/>
  <c r="S648" i="3" s="1"/>
  <c r="Z648" i="3"/>
  <c r="AD648" i="3"/>
  <c r="T648" i="3" l="1"/>
  <c r="AH648" i="3" s="1"/>
  <c r="U647" i="3"/>
  <c r="Y646" i="3"/>
  <c r="D648" i="3" l="1"/>
  <c r="AG648" i="3"/>
  <c r="E648" i="3"/>
  <c r="H648" i="3" s="1"/>
  <c r="F648" i="3" l="1"/>
  <c r="G648" i="3"/>
  <c r="K648" i="3"/>
  <c r="AE648" i="3" s="1"/>
  <c r="I648" i="3" l="1"/>
  <c r="J648" i="3"/>
  <c r="M648" i="3"/>
  <c r="N648" i="3" s="1"/>
  <c r="V648" i="3"/>
  <c r="A649" i="3"/>
  <c r="B649" i="3" s="1"/>
  <c r="W648" i="3" l="1"/>
  <c r="L648" i="3"/>
  <c r="AC649" i="3"/>
  <c r="AA649" i="3"/>
  <c r="AD649" i="3"/>
  <c r="P649" i="3"/>
  <c r="Q649" i="3" s="1"/>
  <c r="R649" i="3" s="1"/>
  <c r="S649" i="3" s="1"/>
  <c r="Z649" i="3"/>
  <c r="U648" i="3" l="1"/>
  <c r="Y647" i="3"/>
  <c r="T649" i="3"/>
  <c r="E649" i="3" l="1"/>
  <c r="H649" i="3" s="1"/>
  <c r="K649" i="3" s="1"/>
  <c r="AE649" i="3" s="1"/>
  <c r="D649" i="3"/>
  <c r="AH649" i="3"/>
  <c r="AG649" i="3"/>
  <c r="V649" i="3" l="1"/>
  <c r="A650" i="3"/>
  <c r="B650" i="3" s="1"/>
  <c r="F649" i="3"/>
  <c r="G649" i="3"/>
  <c r="I649" i="3" l="1"/>
  <c r="W649" i="3" s="1"/>
  <c r="J649" i="3"/>
  <c r="M649" i="3"/>
  <c r="N649" i="3" s="1"/>
  <c r="AA650" i="3"/>
  <c r="P650" i="3"/>
  <c r="Q650" i="3" s="1"/>
  <c r="R650" i="3" s="1"/>
  <c r="S650" i="3" s="1"/>
  <c r="Z650" i="3"/>
  <c r="AD650" i="3"/>
  <c r="AC650" i="3"/>
  <c r="L649" i="3" l="1"/>
  <c r="T650" i="3"/>
  <c r="U649" i="3" l="1"/>
  <c r="E650" i="3" s="1"/>
  <c r="H650" i="3" s="1"/>
  <c r="AG650" i="3"/>
  <c r="AH650" i="3"/>
  <c r="Y648" i="3"/>
  <c r="K650" i="3" l="1"/>
  <c r="AE650" i="3" s="1"/>
  <c r="D650" i="3"/>
  <c r="V650" i="3" l="1"/>
  <c r="A651" i="3"/>
  <c r="B651" i="3" s="1"/>
  <c r="F650" i="3"/>
  <c r="G650" i="3"/>
  <c r="I650" i="3" l="1"/>
  <c r="W650" i="3" s="1"/>
  <c r="J650" i="3"/>
  <c r="M650" i="3"/>
  <c r="N650" i="3" s="1"/>
  <c r="Z651" i="3"/>
  <c r="AC651" i="3"/>
  <c r="P651" i="3"/>
  <c r="Q651" i="3" s="1"/>
  <c r="R651" i="3" s="1"/>
  <c r="S651" i="3" s="1"/>
  <c r="AA651" i="3"/>
  <c r="AD651" i="3"/>
  <c r="T651" i="3" l="1"/>
  <c r="L650" i="3"/>
  <c r="AH651" i="3" l="1"/>
  <c r="U650" i="3"/>
  <c r="E651" i="3" s="1"/>
  <c r="H651" i="3" s="1"/>
  <c r="AG651" i="3"/>
  <c r="Y649" i="3"/>
  <c r="D651" i="3" l="1"/>
  <c r="G651" i="3" s="1"/>
  <c r="K651" i="3"/>
  <c r="AE651" i="3" s="1"/>
  <c r="F651" i="3" l="1"/>
  <c r="I651" i="3"/>
  <c r="J651" i="3"/>
  <c r="M651" i="3"/>
  <c r="N651" i="3" s="1"/>
  <c r="V651" i="3"/>
  <c r="A652" i="3"/>
  <c r="B652" i="3" s="1"/>
  <c r="W651" i="3" l="1"/>
  <c r="L651" i="3"/>
  <c r="P652" i="3"/>
  <c r="Q652" i="3" s="1"/>
  <c r="R652" i="3" s="1"/>
  <c r="S652" i="3" s="1"/>
  <c r="AC652" i="3"/>
  <c r="AA652" i="3"/>
  <c r="Z652" i="3"/>
  <c r="AD652" i="3"/>
  <c r="U651" i="3" l="1"/>
  <c r="Y650" i="3"/>
  <c r="T652" i="3"/>
  <c r="E652" i="3" l="1"/>
  <c r="H652" i="3" s="1"/>
  <c r="K652" i="3" s="1"/>
  <c r="AE652" i="3" s="1"/>
  <c r="AH652" i="3"/>
  <c r="AG652" i="3"/>
  <c r="D652" i="3"/>
  <c r="G652" i="3" s="1"/>
  <c r="F652" i="3" l="1"/>
  <c r="V652" i="3"/>
  <c r="A653" i="3"/>
  <c r="B653" i="3" s="1"/>
  <c r="I652" i="3"/>
  <c r="J652" i="3"/>
  <c r="M652" i="3"/>
  <c r="N652" i="3" s="1"/>
  <c r="W652" i="3" l="1"/>
  <c r="L652" i="3"/>
  <c r="Z653" i="3"/>
  <c r="AA653" i="3"/>
  <c r="P653" i="3"/>
  <c r="Q653" i="3" s="1"/>
  <c r="R653" i="3" s="1"/>
  <c r="S653" i="3" s="1"/>
  <c r="AD653" i="3"/>
  <c r="AC653" i="3"/>
  <c r="T653" i="3" l="1"/>
  <c r="AG653" i="3" s="1"/>
  <c r="U652" i="3"/>
  <c r="Y651" i="3"/>
  <c r="AH653" i="3" l="1"/>
  <c r="E653" i="3"/>
  <c r="H653" i="3" s="1"/>
  <c r="D653" i="3"/>
  <c r="K653" i="3" l="1"/>
  <c r="AE653" i="3" s="1"/>
  <c r="F653" i="3"/>
  <c r="G653" i="3"/>
  <c r="V653" i="3" l="1"/>
  <c r="A654" i="3"/>
  <c r="B654" i="3" s="1"/>
  <c r="I653" i="3"/>
  <c r="J653" i="3"/>
  <c r="M653" i="3"/>
  <c r="N653" i="3" s="1"/>
  <c r="W653" i="3" l="1"/>
  <c r="L653" i="3"/>
  <c r="Z654" i="3"/>
  <c r="P654" i="3"/>
  <c r="Q654" i="3" s="1"/>
  <c r="R654" i="3" s="1"/>
  <c r="S654" i="3" s="1"/>
  <c r="AC654" i="3"/>
  <c r="AA654" i="3"/>
  <c r="T654" i="3" l="1"/>
  <c r="AG654" i="3" s="1"/>
  <c r="U653" i="3"/>
  <c r="Y652" i="3"/>
  <c r="AH654" i="3" l="1"/>
  <c r="E654" i="3"/>
  <c r="H654" i="3" s="1"/>
  <c r="D654" i="3"/>
  <c r="K654" i="3" l="1"/>
  <c r="AE654" i="3" s="1"/>
  <c r="F654" i="3"/>
  <c r="G654" i="3"/>
  <c r="V654" i="3" l="1"/>
  <c r="A655" i="3"/>
  <c r="B655" i="3" s="1"/>
  <c r="I654" i="3"/>
  <c r="J654" i="3"/>
  <c r="AD654" i="3" s="1"/>
  <c r="M654" i="3"/>
  <c r="N654" i="3" s="1"/>
  <c r="L654" i="3" l="1"/>
  <c r="AD655" i="3"/>
  <c r="AC655" i="3"/>
  <c r="P655" i="3"/>
  <c r="Q655" i="3" s="1"/>
  <c r="R655" i="3" s="1"/>
  <c r="S655" i="3" s="1"/>
  <c r="Z655" i="3"/>
  <c r="AA655" i="3"/>
  <c r="W654" i="3"/>
  <c r="U654" i="3" l="1"/>
  <c r="Y653" i="3"/>
  <c r="T655" i="3"/>
  <c r="AH655" i="3" s="1"/>
  <c r="AG655" i="3" l="1"/>
  <c r="D655" i="3"/>
  <c r="E655" i="3"/>
  <c r="H655" i="3" s="1"/>
  <c r="K655" i="3" l="1"/>
  <c r="AE655" i="3" s="1"/>
  <c r="F655" i="3"/>
  <c r="G655" i="3"/>
  <c r="V655" i="3" l="1"/>
  <c r="A656" i="3"/>
  <c r="B656" i="3" s="1"/>
  <c r="I655" i="3"/>
  <c r="J655" i="3"/>
  <c r="M655" i="3"/>
  <c r="N655" i="3" s="1"/>
  <c r="W655" i="3" l="1"/>
  <c r="L655" i="3"/>
  <c r="Z656" i="3"/>
  <c r="AA656" i="3"/>
  <c r="AD656" i="3"/>
  <c r="AC656" i="3"/>
  <c r="P656" i="3"/>
  <c r="Q656" i="3" s="1"/>
  <c r="R656" i="3" s="1"/>
  <c r="S656" i="3" s="1"/>
  <c r="T656" i="3" l="1"/>
  <c r="U655" i="3"/>
  <c r="Y654" i="3"/>
  <c r="E656" i="3" l="1"/>
  <c r="H656" i="3" s="1"/>
  <c r="K656" i="3" s="1"/>
  <c r="AE656" i="3" s="1"/>
  <c r="AH656" i="3"/>
  <c r="D656" i="3"/>
  <c r="AG656" i="3"/>
  <c r="F656" i="3" l="1"/>
  <c r="G656" i="3"/>
  <c r="V656" i="3"/>
  <c r="A657" i="3"/>
  <c r="B657" i="3" s="1"/>
  <c r="I656" i="3" l="1"/>
  <c r="W656" i="3" s="1"/>
  <c r="J656" i="3"/>
  <c r="M656" i="3"/>
  <c r="N656" i="3" s="1"/>
  <c r="AC657" i="3"/>
  <c r="AD657" i="3"/>
  <c r="P657" i="3"/>
  <c r="Q657" i="3" s="1"/>
  <c r="R657" i="3" s="1"/>
  <c r="S657" i="3" s="1"/>
  <c r="AA657" i="3"/>
  <c r="Z657" i="3"/>
  <c r="L656" i="3" l="1"/>
  <c r="T657" i="3"/>
  <c r="AH657" i="3" l="1"/>
  <c r="U656" i="3"/>
  <c r="E657" i="3" s="1"/>
  <c r="H657" i="3" s="1"/>
  <c r="AG657" i="3"/>
  <c r="Y655" i="3"/>
  <c r="D657" i="3" l="1"/>
  <c r="G657" i="3" s="1"/>
  <c r="K657" i="3"/>
  <c r="AE657" i="3" s="1"/>
  <c r="F657" i="3" l="1"/>
  <c r="I657" i="3"/>
  <c r="J657" i="3"/>
  <c r="M657" i="3"/>
  <c r="N657" i="3" s="1"/>
  <c r="V657" i="3"/>
  <c r="A658" i="3"/>
  <c r="B658" i="3" s="1"/>
  <c r="W657" i="3" l="1"/>
  <c r="L657" i="3"/>
  <c r="AC658" i="3"/>
  <c r="Z658" i="3"/>
  <c r="AD658" i="3"/>
  <c r="AA658" i="3"/>
  <c r="P658" i="3"/>
  <c r="Q658" i="3" s="1"/>
  <c r="R658" i="3" s="1"/>
  <c r="S658" i="3" s="1"/>
  <c r="U657" i="3" l="1"/>
  <c r="Y656" i="3"/>
  <c r="T658" i="3"/>
  <c r="AG658" i="3" s="1"/>
  <c r="E658" i="3" l="1"/>
  <c r="H658" i="3" s="1"/>
  <c r="D658" i="3"/>
  <c r="AH658" i="3"/>
  <c r="K658" i="3" l="1"/>
  <c r="AE658" i="3" s="1"/>
  <c r="F658" i="3"/>
  <c r="G658" i="3"/>
  <c r="I658" i="3" l="1"/>
  <c r="J658" i="3"/>
  <c r="M658" i="3"/>
  <c r="N658" i="3" s="1"/>
  <c r="V658" i="3"/>
  <c r="A659" i="3"/>
  <c r="B659" i="3" s="1"/>
  <c r="W658" i="3" l="1"/>
  <c r="L658" i="3"/>
  <c r="AA659" i="3"/>
  <c r="P659" i="3"/>
  <c r="Q659" i="3" s="1"/>
  <c r="R659" i="3" s="1"/>
  <c r="S659" i="3" s="1"/>
  <c r="Z659" i="3"/>
  <c r="AD659" i="3"/>
  <c r="AC659" i="3"/>
  <c r="U658" i="3" l="1"/>
  <c r="Y657" i="3"/>
  <c r="T659" i="3"/>
  <c r="AH659" i="3" s="1"/>
  <c r="E659" i="3" l="1"/>
  <c r="H659" i="3" s="1"/>
  <c r="K659" i="3" s="1"/>
  <c r="AE659" i="3" s="1"/>
  <c r="AG659" i="3"/>
  <c r="D659" i="3"/>
  <c r="G659" i="3" s="1"/>
  <c r="F659" i="3" l="1"/>
  <c r="I659" i="3"/>
  <c r="J659" i="3"/>
  <c r="M659" i="3"/>
  <c r="N659" i="3" s="1"/>
  <c r="V659" i="3"/>
  <c r="A660" i="3"/>
  <c r="B660" i="3" s="1"/>
  <c r="W659" i="3" l="1"/>
  <c r="L659" i="3"/>
  <c r="AA660" i="3"/>
  <c r="P660" i="3"/>
  <c r="Q660" i="3" s="1"/>
  <c r="R660" i="3" s="1"/>
  <c r="S660" i="3" s="1"/>
  <c r="AC660" i="3"/>
  <c r="AD660" i="3"/>
  <c r="Z660" i="3"/>
  <c r="T660" i="3" l="1"/>
  <c r="AH660" i="3" s="1"/>
  <c r="U659" i="3"/>
  <c r="Y658" i="3"/>
  <c r="AG660" i="3" l="1"/>
  <c r="D660" i="3"/>
  <c r="E660" i="3"/>
  <c r="H660" i="3" s="1"/>
  <c r="K660" i="3" l="1"/>
  <c r="AE660" i="3" s="1"/>
  <c r="F660" i="3"/>
  <c r="G660" i="3"/>
  <c r="I660" i="3" l="1"/>
  <c r="J660" i="3"/>
  <c r="M660" i="3"/>
  <c r="N660" i="3" s="1"/>
  <c r="V660" i="3"/>
  <c r="A661" i="3"/>
  <c r="B661" i="3" s="1"/>
  <c r="L660" i="3" l="1"/>
  <c r="W660" i="3"/>
  <c r="Z661" i="3"/>
  <c r="P661" i="3"/>
  <c r="Q661" i="3" s="1"/>
  <c r="R661" i="3" s="1"/>
  <c r="S661" i="3" s="1"/>
  <c r="AA661" i="3"/>
  <c r="AD661" i="3"/>
  <c r="AC661" i="3"/>
  <c r="T661" i="3" l="1"/>
  <c r="U660" i="3"/>
  <c r="Y659" i="3"/>
  <c r="E661" i="3" l="1"/>
  <c r="H661" i="3" s="1"/>
  <c r="K661" i="3" s="1"/>
  <c r="AE661" i="3" s="1"/>
  <c r="D661" i="3"/>
  <c r="AH661" i="3"/>
  <c r="AG661" i="3"/>
  <c r="V661" i="3" l="1"/>
  <c r="A662" i="3"/>
  <c r="B662" i="3" s="1"/>
  <c r="F661" i="3"/>
  <c r="G661" i="3"/>
  <c r="I661" i="3" l="1"/>
  <c r="W661" i="3" s="1"/>
  <c r="J661" i="3"/>
  <c r="M661" i="3"/>
  <c r="N661" i="3" s="1"/>
  <c r="P662" i="3"/>
  <c r="Q662" i="3" s="1"/>
  <c r="R662" i="3" s="1"/>
  <c r="S662" i="3" s="1"/>
  <c r="Z662" i="3"/>
  <c r="AD662" i="3"/>
  <c r="AA662" i="3"/>
  <c r="AC662" i="3"/>
  <c r="T662" i="3" l="1"/>
  <c r="L661" i="3"/>
  <c r="AH662" i="3" l="1"/>
  <c r="AG662" i="3"/>
  <c r="U661" i="3"/>
  <c r="E662" i="3" s="1"/>
  <c r="H662" i="3" s="1"/>
  <c r="Y660" i="3"/>
  <c r="D662" i="3" l="1"/>
  <c r="F662" i="3" s="1"/>
  <c r="K662" i="3"/>
  <c r="AE662" i="3" s="1"/>
  <c r="G662" i="3" l="1"/>
  <c r="I662" i="3" s="1"/>
  <c r="V662" i="3"/>
  <c r="A663" i="3"/>
  <c r="B663" i="3" s="1"/>
  <c r="J662" i="3" l="1"/>
  <c r="L662" i="3" s="1"/>
  <c r="M662" i="3"/>
  <c r="N662" i="3" s="1"/>
  <c r="W662" i="3"/>
  <c r="AA663" i="3"/>
  <c r="Z663" i="3"/>
  <c r="P663" i="3"/>
  <c r="Q663" i="3" s="1"/>
  <c r="R663" i="3" s="1"/>
  <c r="S663" i="3" s="1"/>
  <c r="AC663" i="3"/>
  <c r="AD663" i="3"/>
  <c r="U662" i="3" l="1"/>
  <c r="Y661" i="3"/>
  <c r="T663" i="3"/>
  <c r="E663" i="3" l="1"/>
  <c r="H663" i="3" s="1"/>
  <c r="K663" i="3" s="1"/>
  <c r="AE663" i="3" s="1"/>
  <c r="AG663" i="3"/>
  <c r="AH663" i="3"/>
  <c r="D663" i="3"/>
  <c r="F663" i="3" l="1"/>
  <c r="G663" i="3"/>
  <c r="V663" i="3"/>
  <c r="A664" i="3"/>
  <c r="B664" i="3" s="1"/>
  <c r="P664" i="3" l="1"/>
  <c r="Q664" i="3" s="1"/>
  <c r="R664" i="3" s="1"/>
  <c r="S664" i="3" s="1"/>
  <c r="AA664" i="3"/>
  <c r="AC664" i="3"/>
  <c r="Z664" i="3"/>
  <c r="I663" i="3"/>
  <c r="W663" i="3" s="1"/>
  <c r="J663" i="3"/>
  <c r="M663" i="3"/>
  <c r="N663" i="3" s="1"/>
  <c r="T664" i="3" l="1"/>
  <c r="L663" i="3"/>
  <c r="AH664" i="3" l="1"/>
  <c r="U663" i="3"/>
  <c r="E664" i="3" s="1"/>
  <c r="H664" i="3" s="1"/>
  <c r="AG664" i="3"/>
  <c r="Y662" i="3"/>
  <c r="D664" i="3" l="1"/>
  <c r="G664" i="3" s="1"/>
  <c r="K664" i="3"/>
  <c r="AE664" i="3" s="1"/>
  <c r="F664" i="3" l="1"/>
  <c r="I664" i="3"/>
  <c r="J664" i="3"/>
  <c r="AD664" i="3" s="1"/>
  <c r="M664" i="3"/>
  <c r="N664" i="3" s="1"/>
  <c r="V664" i="3"/>
  <c r="A665" i="3"/>
  <c r="B665" i="3" s="1"/>
  <c r="W664" i="3" l="1"/>
  <c r="L664" i="3"/>
  <c r="AC665" i="3"/>
  <c r="P665" i="3"/>
  <c r="Q665" i="3" s="1"/>
  <c r="R665" i="3" s="1"/>
  <c r="S665" i="3" s="1"/>
  <c r="AA665" i="3"/>
  <c r="Z665" i="3"/>
  <c r="AD665" i="3"/>
  <c r="U664" i="3" l="1"/>
  <c r="Y663" i="3"/>
  <c r="T665" i="3"/>
  <c r="D665" i="3" l="1"/>
  <c r="G665" i="3" s="1"/>
  <c r="AG665" i="3"/>
  <c r="E665" i="3"/>
  <c r="H665" i="3" s="1"/>
  <c r="AH665" i="3"/>
  <c r="F665" i="3" l="1"/>
  <c r="I665" i="3"/>
  <c r="J665" i="3"/>
  <c r="M665" i="3"/>
  <c r="N665" i="3" s="1"/>
  <c r="K665" i="3"/>
  <c r="AE665" i="3" s="1"/>
  <c r="L665" i="3" l="1"/>
  <c r="V665" i="3"/>
  <c r="W665" i="3" s="1"/>
  <c r="A666" i="3"/>
  <c r="B666" i="3" s="1"/>
  <c r="U665" i="3" l="1"/>
  <c r="Y664" i="3"/>
  <c r="AA666" i="3"/>
  <c r="AD666" i="3"/>
  <c r="P666" i="3"/>
  <c r="Q666" i="3" s="1"/>
  <c r="R666" i="3" s="1"/>
  <c r="S666" i="3" s="1"/>
  <c r="Z666" i="3"/>
  <c r="AC666" i="3"/>
  <c r="T666" i="3" l="1"/>
  <c r="D666" i="3" s="1"/>
  <c r="AG666" i="3" l="1"/>
  <c r="E666" i="3"/>
  <c r="H666" i="3" s="1"/>
  <c r="K666" i="3" s="1"/>
  <c r="AE666" i="3" s="1"/>
  <c r="AH666" i="3"/>
  <c r="G666" i="3"/>
  <c r="F666" i="3" l="1"/>
  <c r="I666" i="3"/>
  <c r="J666" i="3"/>
  <c r="M666" i="3"/>
  <c r="N666" i="3" s="1"/>
  <c r="V666" i="3"/>
  <c r="A667" i="3"/>
  <c r="B667" i="3" s="1"/>
  <c r="L666" i="3" l="1"/>
  <c r="W666" i="3"/>
  <c r="AC667" i="3"/>
  <c r="Z667" i="3"/>
  <c r="P667" i="3"/>
  <c r="Q667" i="3" s="1"/>
  <c r="R667" i="3" s="1"/>
  <c r="S667" i="3" s="1"/>
  <c r="AD667" i="3"/>
  <c r="AA667" i="3"/>
  <c r="U666" i="3" l="1"/>
  <c r="Y665" i="3"/>
  <c r="T667" i="3"/>
  <c r="AG667" i="3" s="1"/>
  <c r="D667" i="3" l="1"/>
  <c r="E667" i="3"/>
  <c r="H667" i="3" s="1"/>
  <c r="AH667" i="3"/>
  <c r="F667" i="3" l="1"/>
  <c r="G667" i="3"/>
  <c r="K667" i="3"/>
  <c r="AE667" i="3" s="1"/>
  <c r="I667" i="3" l="1"/>
  <c r="J667" i="3"/>
  <c r="M667" i="3"/>
  <c r="N667" i="3" s="1"/>
  <c r="V667" i="3"/>
  <c r="A668" i="3"/>
  <c r="B668" i="3" s="1"/>
  <c r="W667" i="3" l="1"/>
  <c r="L667" i="3"/>
  <c r="Z668" i="3"/>
  <c r="P668" i="3"/>
  <c r="Q668" i="3" s="1"/>
  <c r="R668" i="3" s="1"/>
  <c r="S668" i="3" s="1"/>
  <c r="AD668" i="3"/>
  <c r="AC668" i="3"/>
  <c r="AA668" i="3"/>
  <c r="T668" i="3" l="1"/>
  <c r="AH668" i="3" s="1"/>
  <c r="U667" i="3"/>
  <c r="Y666" i="3"/>
  <c r="D668" i="3" l="1"/>
  <c r="G668" i="3" s="1"/>
  <c r="AG668" i="3"/>
  <c r="E668" i="3"/>
  <c r="H668" i="3" s="1"/>
  <c r="F668" i="3" l="1"/>
  <c r="I668" i="3"/>
  <c r="J668" i="3"/>
  <c r="M668" i="3"/>
  <c r="N668" i="3" s="1"/>
  <c r="K668" i="3"/>
  <c r="AE668" i="3" s="1"/>
  <c r="L668" i="3" l="1"/>
  <c r="V668" i="3"/>
  <c r="W668" i="3" s="1"/>
  <c r="A669" i="3"/>
  <c r="B669" i="3" s="1"/>
  <c r="AA669" i="3" l="1"/>
  <c r="P669" i="3"/>
  <c r="Q669" i="3" s="1"/>
  <c r="R669" i="3" s="1"/>
  <c r="S669" i="3" s="1"/>
  <c r="AD669" i="3"/>
  <c r="AC669" i="3"/>
  <c r="Z669" i="3"/>
  <c r="U668" i="3"/>
  <c r="Y667" i="3"/>
  <c r="T669" i="3" l="1"/>
  <c r="AH669" i="3" l="1"/>
  <c r="AG669" i="3"/>
  <c r="D669" i="3"/>
  <c r="E669" i="3"/>
  <c r="H669" i="3" s="1"/>
  <c r="F669" i="3" l="1"/>
  <c r="G669" i="3"/>
  <c r="K669" i="3"/>
  <c r="AE669" i="3" s="1"/>
  <c r="V669" i="3" l="1"/>
  <c r="A670" i="3"/>
  <c r="B670" i="3" s="1"/>
  <c r="I669" i="3"/>
  <c r="J669" i="3"/>
  <c r="M669" i="3"/>
  <c r="N669" i="3" s="1"/>
  <c r="L669" i="3" l="1"/>
  <c r="W669" i="3"/>
  <c r="AD670" i="3"/>
  <c r="P670" i="3"/>
  <c r="Q670" i="3" s="1"/>
  <c r="R670" i="3" s="1"/>
  <c r="S670" i="3" s="1"/>
  <c r="AA670" i="3"/>
  <c r="Z670" i="3"/>
  <c r="AC670" i="3"/>
  <c r="T670" i="3" l="1"/>
  <c r="U669" i="3"/>
  <c r="Y668" i="3"/>
  <c r="E670" i="3" l="1"/>
  <c r="H670" i="3" s="1"/>
  <c r="K670" i="3" s="1"/>
  <c r="AE670" i="3" s="1"/>
  <c r="AH670" i="3"/>
  <c r="AG670" i="3"/>
  <c r="D670" i="3"/>
  <c r="V670" i="3" l="1"/>
  <c r="A671" i="3"/>
  <c r="B671" i="3" s="1"/>
  <c r="F670" i="3"/>
  <c r="G670" i="3"/>
  <c r="I670" i="3" l="1"/>
  <c r="W670" i="3" s="1"/>
  <c r="J670" i="3"/>
  <c r="M670" i="3"/>
  <c r="N670" i="3" s="1"/>
  <c r="AC671" i="3"/>
  <c r="Z671" i="3"/>
  <c r="AD671" i="3"/>
  <c r="AA671" i="3"/>
  <c r="P671" i="3"/>
  <c r="Q671" i="3" s="1"/>
  <c r="R671" i="3" s="1"/>
  <c r="S671" i="3" s="1"/>
  <c r="T671" i="3" l="1"/>
  <c r="L670" i="3"/>
  <c r="U670" i="3" l="1"/>
  <c r="E671" i="3" s="1"/>
  <c r="H671" i="3" s="1"/>
  <c r="AG671" i="3"/>
  <c r="AH671" i="3"/>
  <c r="Y669" i="3"/>
  <c r="D671" i="3" l="1"/>
  <c r="G671" i="3" s="1"/>
  <c r="K671" i="3"/>
  <c r="AE671" i="3" s="1"/>
  <c r="F671" i="3" l="1"/>
  <c r="V671" i="3"/>
  <c r="A672" i="3"/>
  <c r="B672" i="3" s="1"/>
  <c r="I671" i="3"/>
  <c r="J671" i="3"/>
  <c r="M671" i="3"/>
  <c r="N671" i="3" s="1"/>
  <c r="W671" i="3" l="1"/>
  <c r="L671" i="3"/>
  <c r="AD672" i="3"/>
  <c r="P672" i="3"/>
  <c r="Q672" i="3" s="1"/>
  <c r="R672" i="3" s="1"/>
  <c r="S672" i="3" s="1"/>
  <c r="AC672" i="3"/>
  <c r="Z672" i="3"/>
  <c r="AA672" i="3"/>
  <c r="T672" i="3" l="1"/>
  <c r="AG672" i="3" s="1"/>
  <c r="U671" i="3"/>
  <c r="Y670" i="3"/>
  <c r="E672" i="3" l="1"/>
  <c r="H672" i="3" s="1"/>
  <c r="K672" i="3" s="1"/>
  <c r="AE672" i="3" s="1"/>
  <c r="D672" i="3"/>
  <c r="AH672" i="3"/>
  <c r="F672" i="3" l="1"/>
  <c r="G672" i="3"/>
  <c r="V672" i="3"/>
  <c r="A673" i="3"/>
  <c r="B673" i="3" s="1"/>
  <c r="AC673" i="3" l="1"/>
  <c r="AA673" i="3"/>
  <c r="P673" i="3"/>
  <c r="Q673" i="3" s="1"/>
  <c r="R673" i="3" s="1"/>
  <c r="S673" i="3" s="1"/>
  <c r="AD673" i="3"/>
  <c r="Z673" i="3"/>
  <c r="I672" i="3"/>
  <c r="W672" i="3" s="1"/>
  <c r="J672" i="3"/>
  <c r="M672" i="3"/>
  <c r="N672" i="3" s="1"/>
  <c r="L672" i="3" l="1"/>
  <c r="T673" i="3"/>
  <c r="AH673" i="3" l="1"/>
  <c r="AG673" i="3"/>
  <c r="U672" i="3"/>
  <c r="E673" i="3" s="1"/>
  <c r="H673" i="3" s="1"/>
  <c r="Y671" i="3"/>
  <c r="K673" i="3" l="1"/>
  <c r="AE673" i="3" s="1"/>
  <c r="D673" i="3"/>
  <c r="V673" i="3" l="1"/>
  <c r="A674" i="3"/>
  <c r="B674" i="3" s="1"/>
  <c r="F673" i="3"/>
  <c r="G673" i="3"/>
  <c r="I673" i="3" l="1"/>
  <c r="W673" i="3" s="1"/>
  <c r="J673" i="3"/>
  <c r="M673" i="3"/>
  <c r="N673" i="3" s="1"/>
  <c r="P674" i="3"/>
  <c r="Q674" i="3" s="1"/>
  <c r="R674" i="3" s="1"/>
  <c r="S674" i="3" s="1"/>
  <c r="AA674" i="3"/>
  <c r="Z674" i="3"/>
  <c r="AC674" i="3"/>
  <c r="T674" i="3" l="1"/>
  <c r="L673" i="3"/>
  <c r="AH674" i="3" l="1"/>
  <c r="U673" i="3"/>
  <c r="E674" i="3" s="1"/>
  <c r="H674" i="3" s="1"/>
  <c r="AG674" i="3"/>
  <c r="Y672" i="3"/>
  <c r="D674" i="3" l="1"/>
  <c r="G674" i="3" s="1"/>
  <c r="K674" i="3"/>
  <c r="AE674" i="3" s="1"/>
  <c r="F674" i="3" l="1"/>
  <c r="I674" i="3"/>
  <c r="J674" i="3"/>
  <c r="AD674" i="3" s="1"/>
  <c r="M674" i="3"/>
  <c r="N674" i="3" s="1"/>
  <c r="V674" i="3"/>
  <c r="A675" i="3"/>
  <c r="B675" i="3" s="1"/>
  <c r="W674" i="3" l="1"/>
  <c r="L674" i="3"/>
  <c r="P675" i="3"/>
  <c r="Q675" i="3" s="1"/>
  <c r="R675" i="3" s="1"/>
  <c r="S675" i="3" s="1"/>
  <c r="AD675" i="3"/>
  <c r="AA675" i="3"/>
  <c r="AC675" i="3"/>
  <c r="Z675" i="3"/>
  <c r="U674" i="3" l="1"/>
  <c r="Y673" i="3"/>
  <c r="T675" i="3"/>
  <c r="AH675" i="3" s="1"/>
  <c r="AG675" i="3" l="1"/>
  <c r="D675" i="3"/>
  <c r="E675" i="3"/>
  <c r="H675" i="3" s="1"/>
  <c r="F675" i="3" l="1"/>
  <c r="G675" i="3"/>
  <c r="K675" i="3"/>
  <c r="AE675" i="3" s="1"/>
  <c r="I675" i="3" l="1"/>
  <c r="J675" i="3"/>
  <c r="M675" i="3"/>
  <c r="N675" i="3" s="1"/>
  <c r="V675" i="3"/>
  <c r="A676" i="3"/>
  <c r="B676" i="3" s="1"/>
  <c r="W675" i="3" l="1"/>
  <c r="L675" i="3"/>
  <c r="AD676" i="3"/>
  <c r="AC676" i="3"/>
  <c r="P676" i="3"/>
  <c r="Q676" i="3" s="1"/>
  <c r="R676" i="3" s="1"/>
  <c r="S676" i="3" s="1"/>
  <c r="Z676" i="3"/>
  <c r="AA676" i="3"/>
  <c r="T676" i="3" l="1"/>
  <c r="U675" i="3"/>
  <c r="Y674" i="3"/>
  <c r="E676" i="3" l="1"/>
  <c r="H676" i="3" s="1"/>
  <c r="K676" i="3" s="1"/>
  <c r="AE676" i="3" s="1"/>
  <c r="AH676" i="3"/>
  <c r="D676" i="3"/>
  <c r="G676" i="3" s="1"/>
  <c r="AG676" i="3"/>
  <c r="F676" i="3" l="1"/>
  <c r="I676" i="3"/>
  <c r="J676" i="3"/>
  <c r="M676" i="3"/>
  <c r="N676" i="3" s="1"/>
  <c r="V676" i="3"/>
  <c r="A677" i="3"/>
  <c r="B677" i="3" s="1"/>
  <c r="W676" i="3" l="1"/>
  <c r="L676" i="3"/>
  <c r="AA677" i="3"/>
  <c r="AC677" i="3"/>
  <c r="Z677" i="3"/>
  <c r="AD677" i="3"/>
  <c r="P677" i="3"/>
  <c r="Q677" i="3" s="1"/>
  <c r="R677" i="3" s="1"/>
  <c r="S677" i="3" s="1"/>
  <c r="U676" i="3" l="1"/>
  <c r="Y675" i="3"/>
  <c r="T677" i="3"/>
  <c r="AG677" i="3" s="1"/>
  <c r="D677" i="3" l="1"/>
  <c r="G677" i="3" s="1"/>
  <c r="AH677" i="3"/>
  <c r="E677" i="3"/>
  <c r="H677" i="3" s="1"/>
  <c r="F677" i="3" l="1"/>
  <c r="I677" i="3"/>
  <c r="J677" i="3"/>
  <c r="M677" i="3"/>
  <c r="N677" i="3" s="1"/>
  <c r="K677" i="3"/>
  <c r="AE677" i="3" s="1"/>
  <c r="V677" i="3" l="1"/>
  <c r="W677" i="3" s="1"/>
  <c r="A678" i="3"/>
  <c r="B678" i="3" s="1"/>
  <c r="L677" i="3"/>
  <c r="U677" i="3" l="1"/>
  <c r="Y676" i="3"/>
  <c r="AD678" i="3"/>
  <c r="P678" i="3"/>
  <c r="Q678" i="3" s="1"/>
  <c r="R678" i="3" s="1"/>
  <c r="S678" i="3" s="1"/>
  <c r="Z678" i="3"/>
  <c r="AC678" i="3"/>
  <c r="AA678" i="3"/>
  <c r="T678" i="3" l="1"/>
  <c r="AH678" i="3" s="1"/>
  <c r="E678" i="3" l="1"/>
  <c r="H678" i="3" s="1"/>
  <c r="K678" i="3" s="1"/>
  <c r="AE678" i="3" s="1"/>
  <c r="D678" i="3"/>
  <c r="AG678" i="3"/>
  <c r="F678" i="3" l="1"/>
  <c r="G678" i="3"/>
  <c r="J678" i="3" s="1"/>
  <c r="V678" i="3"/>
  <c r="A679" i="3"/>
  <c r="B679" i="3" s="1"/>
  <c r="M678" i="3" l="1"/>
  <c r="N678" i="3" s="1"/>
  <c r="I678" i="3"/>
  <c r="W678" i="3" s="1"/>
  <c r="L678" i="3"/>
  <c r="P679" i="3"/>
  <c r="Q679" i="3" s="1"/>
  <c r="R679" i="3" s="1"/>
  <c r="S679" i="3" s="1"/>
  <c r="AA679" i="3"/>
  <c r="Z679" i="3"/>
  <c r="AD679" i="3"/>
  <c r="AC679" i="3"/>
  <c r="T679" i="3" l="1"/>
  <c r="U678" i="3"/>
  <c r="Y677" i="3"/>
  <c r="E679" i="3" l="1"/>
  <c r="H679" i="3" s="1"/>
  <c r="K679" i="3" s="1"/>
  <c r="AE679" i="3" s="1"/>
  <c r="AH679" i="3"/>
  <c r="AG679" i="3"/>
  <c r="D679" i="3"/>
  <c r="F679" i="3" l="1"/>
  <c r="G679" i="3"/>
  <c r="V679" i="3"/>
  <c r="A680" i="3"/>
  <c r="B680" i="3" s="1"/>
  <c r="AC680" i="3" l="1"/>
  <c r="P680" i="3"/>
  <c r="Q680" i="3" s="1"/>
  <c r="R680" i="3" s="1"/>
  <c r="S680" i="3" s="1"/>
  <c r="AA680" i="3"/>
  <c r="Z680" i="3"/>
  <c r="AD680" i="3"/>
  <c r="I679" i="3"/>
  <c r="W679" i="3" s="1"/>
  <c r="J679" i="3"/>
  <c r="M679" i="3"/>
  <c r="N679" i="3" s="1"/>
  <c r="L679" i="3" l="1"/>
  <c r="T680" i="3"/>
  <c r="AH680" i="3" l="1"/>
  <c r="U679" i="3"/>
  <c r="E680" i="3" s="1"/>
  <c r="H680" i="3" s="1"/>
  <c r="AG680" i="3"/>
  <c r="Y678" i="3"/>
  <c r="D680" i="3" l="1"/>
  <c r="G680" i="3" s="1"/>
  <c r="K680" i="3"/>
  <c r="AE680" i="3" s="1"/>
  <c r="F680" i="3" l="1"/>
  <c r="I680" i="3"/>
  <c r="J680" i="3"/>
  <c r="M680" i="3"/>
  <c r="N680" i="3" s="1"/>
  <c r="V680" i="3"/>
  <c r="A681" i="3"/>
  <c r="B681" i="3" s="1"/>
  <c r="W680" i="3" l="1"/>
  <c r="L680" i="3"/>
  <c r="AD681" i="3"/>
  <c r="AA681" i="3"/>
  <c r="P681" i="3"/>
  <c r="Q681" i="3" s="1"/>
  <c r="R681" i="3" s="1"/>
  <c r="S681" i="3" s="1"/>
  <c r="Z681" i="3"/>
  <c r="AC681" i="3"/>
  <c r="U680" i="3" l="1"/>
  <c r="Y679" i="3"/>
  <c r="T681" i="3"/>
  <c r="E681" i="3" l="1"/>
  <c r="H681" i="3" s="1"/>
  <c r="K681" i="3" s="1"/>
  <c r="AE681" i="3" s="1"/>
  <c r="AG681" i="3"/>
  <c r="AH681" i="3"/>
  <c r="D681" i="3"/>
  <c r="F681" i="3" l="1"/>
  <c r="G681" i="3"/>
  <c r="V681" i="3"/>
  <c r="A682" i="3"/>
  <c r="B682" i="3" s="1"/>
  <c r="AD682" i="3" l="1"/>
  <c r="Z682" i="3"/>
  <c r="P682" i="3"/>
  <c r="Q682" i="3" s="1"/>
  <c r="R682" i="3" s="1"/>
  <c r="S682" i="3" s="1"/>
  <c r="AC682" i="3"/>
  <c r="AA682" i="3"/>
  <c r="I681" i="3"/>
  <c r="W681" i="3" s="1"/>
  <c r="J681" i="3"/>
  <c r="M681" i="3"/>
  <c r="N681" i="3" s="1"/>
  <c r="L681" i="3" l="1"/>
  <c r="T682" i="3"/>
  <c r="U681" i="3" l="1"/>
  <c r="E682" i="3" s="1"/>
  <c r="H682" i="3" s="1"/>
  <c r="AG682" i="3"/>
  <c r="AH682" i="3"/>
  <c r="Y680" i="3"/>
  <c r="D682" i="3" l="1"/>
  <c r="G682" i="3" s="1"/>
  <c r="K682" i="3"/>
  <c r="AE682" i="3" s="1"/>
  <c r="F682" i="3" l="1"/>
  <c r="V682" i="3"/>
  <c r="A683" i="3"/>
  <c r="B683" i="3" s="1"/>
  <c r="I682" i="3"/>
  <c r="J682" i="3"/>
  <c r="M682" i="3"/>
  <c r="N682" i="3" s="1"/>
  <c r="W682" i="3" l="1"/>
  <c r="L682" i="3"/>
  <c r="P683" i="3"/>
  <c r="Q683" i="3" s="1"/>
  <c r="R683" i="3" s="1"/>
  <c r="S683" i="3" s="1"/>
  <c r="AC683" i="3"/>
  <c r="AD683" i="3"/>
  <c r="AA683" i="3"/>
  <c r="Z683" i="3"/>
  <c r="U682" i="3" l="1"/>
  <c r="Y681" i="3"/>
  <c r="T683" i="3"/>
  <c r="E683" i="3" l="1"/>
  <c r="H683" i="3" s="1"/>
  <c r="K683" i="3" s="1"/>
  <c r="AE683" i="3" s="1"/>
  <c r="AH683" i="3"/>
  <c r="AG683" i="3"/>
  <c r="D683" i="3"/>
  <c r="F683" i="3" l="1"/>
  <c r="G683" i="3"/>
  <c r="V683" i="3"/>
  <c r="A684" i="3"/>
  <c r="B684" i="3" s="1"/>
  <c r="Z684" i="3" l="1"/>
  <c r="AA684" i="3"/>
  <c r="AC684" i="3"/>
  <c r="P684" i="3"/>
  <c r="Q684" i="3" s="1"/>
  <c r="R684" i="3" s="1"/>
  <c r="S684" i="3" s="1"/>
  <c r="I683" i="3"/>
  <c r="W683" i="3" s="1"/>
  <c r="J683" i="3"/>
  <c r="M683" i="3"/>
  <c r="N683" i="3" s="1"/>
  <c r="T684" i="3" l="1"/>
  <c r="L683" i="3"/>
  <c r="AH684" i="3" l="1"/>
  <c r="AG684" i="3"/>
  <c r="U683" i="3"/>
  <c r="D684" i="3" s="1"/>
  <c r="Y682" i="3"/>
  <c r="E684" i="3" l="1"/>
  <c r="H684" i="3" s="1"/>
  <c r="K684" i="3" s="1"/>
  <c r="AE684" i="3" s="1"/>
  <c r="G684" i="3"/>
  <c r="F684" i="3" l="1"/>
  <c r="V684" i="3"/>
  <c r="A685" i="3"/>
  <c r="B685" i="3" s="1"/>
  <c r="I684" i="3"/>
  <c r="J684" i="3"/>
  <c r="AD684" i="3" s="1"/>
  <c r="M684" i="3"/>
  <c r="N684" i="3" s="1"/>
  <c r="W684" i="3" l="1"/>
  <c r="L684" i="3"/>
  <c r="P685" i="3"/>
  <c r="Q685" i="3" s="1"/>
  <c r="R685" i="3" s="1"/>
  <c r="S685" i="3" s="1"/>
  <c r="Z685" i="3"/>
  <c r="AC685" i="3"/>
  <c r="AD685" i="3"/>
  <c r="AA685" i="3"/>
  <c r="U684" i="3" l="1"/>
  <c r="Y683" i="3"/>
  <c r="T685" i="3"/>
  <c r="AG685" i="3" s="1"/>
  <c r="D685" i="3" l="1"/>
  <c r="G685" i="3" s="1"/>
  <c r="E685" i="3"/>
  <c r="H685" i="3" s="1"/>
  <c r="AH685" i="3"/>
  <c r="F685" i="3" l="1"/>
  <c r="I685" i="3"/>
  <c r="J685" i="3"/>
  <c r="M685" i="3"/>
  <c r="N685" i="3" s="1"/>
  <c r="K685" i="3"/>
  <c r="AE685" i="3" s="1"/>
  <c r="V685" i="3" l="1"/>
  <c r="W685" i="3" s="1"/>
  <c r="A686" i="3"/>
  <c r="B686" i="3" s="1"/>
  <c r="L685" i="3"/>
  <c r="U685" i="3" l="1"/>
  <c r="Y684" i="3"/>
  <c r="AA686" i="3"/>
  <c r="AC686" i="3"/>
  <c r="AD686" i="3"/>
  <c r="P686" i="3"/>
  <c r="Q686" i="3" s="1"/>
  <c r="R686" i="3" s="1"/>
  <c r="S686" i="3" s="1"/>
  <c r="Z686" i="3"/>
  <c r="T686" i="3" l="1"/>
  <c r="D686" i="3" s="1"/>
  <c r="E686" i="3" l="1"/>
  <c r="H686" i="3" s="1"/>
  <c r="K686" i="3" s="1"/>
  <c r="AE686" i="3" s="1"/>
  <c r="AG686" i="3"/>
  <c r="AH686" i="3"/>
  <c r="G686" i="3"/>
  <c r="F686" i="3" l="1"/>
  <c r="V686" i="3"/>
  <c r="A687" i="3"/>
  <c r="B687" i="3" s="1"/>
  <c r="I686" i="3"/>
  <c r="J686" i="3"/>
  <c r="M686" i="3"/>
  <c r="N686" i="3" s="1"/>
  <c r="L686" i="3" l="1"/>
  <c r="W686" i="3"/>
  <c r="Z687" i="3"/>
  <c r="P687" i="3"/>
  <c r="Q687" i="3" s="1"/>
  <c r="R687" i="3" s="1"/>
  <c r="S687" i="3" s="1"/>
  <c r="AD687" i="3"/>
  <c r="AA687" i="3"/>
  <c r="AC687" i="3"/>
  <c r="U686" i="3" l="1"/>
  <c r="Y685" i="3"/>
  <c r="T687" i="3"/>
  <c r="AG687" i="3" s="1"/>
  <c r="AH687" i="3" l="1"/>
  <c r="D687" i="3"/>
  <c r="G687" i="3" s="1"/>
  <c r="E687" i="3"/>
  <c r="H687" i="3" s="1"/>
  <c r="K687" i="3" s="1"/>
  <c r="AE687" i="3" s="1"/>
  <c r="F687" i="3" l="1"/>
  <c r="I687" i="3"/>
  <c r="J687" i="3"/>
  <c r="M687" i="3"/>
  <c r="N687" i="3" s="1"/>
  <c r="V687" i="3"/>
  <c r="A688" i="3"/>
  <c r="B688" i="3" s="1"/>
  <c r="W687" i="3" l="1"/>
  <c r="L687" i="3"/>
  <c r="AC688" i="3"/>
  <c r="AA688" i="3"/>
  <c r="AD688" i="3"/>
  <c r="P688" i="3"/>
  <c r="Q688" i="3" s="1"/>
  <c r="R688" i="3" s="1"/>
  <c r="S688" i="3" s="1"/>
  <c r="Z688" i="3"/>
  <c r="U687" i="3" l="1"/>
  <c r="Y686" i="3"/>
  <c r="T688" i="3"/>
  <c r="AG688" i="3" s="1"/>
  <c r="E688" i="3" l="1"/>
  <c r="H688" i="3" s="1"/>
  <c r="K688" i="3" s="1"/>
  <c r="AE688" i="3" s="1"/>
  <c r="AH688" i="3"/>
  <c r="D688" i="3"/>
  <c r="F688" i="3" l="1"/>
  <c r="G688" i="3"/>
  <c r="V688" i="3"/>
  <c r="A689" i="3"/>
  <c r="B689" i="3" s="1"/>
  <c r="AA689" i="3" l="1"/>
  <c r="P689" i="3"/>
  <c r="Q689" i="3" s="1"/>
  <c r="R689" i="3" s="1"/>
  <c r="S689" i="3" s="1"/>
  <c r="Z689" i="3"/>
  <c r="AD689" i="3"/>
  <c r="AC689" i="3"/>
  <c r="I688" i="3"/>
  <c r="W688" i="3" s="1"/>
  <c r="J688" i="3"/>
  <c r="M688" i="3"/>
  <c r="N688" i="3" s="1"/>
  <c r="T689" i="3" l="1"/>
  <c r="L688" i="3"/>
  <c r="U688" i="3" l="1"/>
  <c r="D689" i="3" s="1"/>
  <c r="AG689" i="3"/>
  <c r="AH689" i="3"/>
  <c r="Y687" i="3"/>
  <c r="E689" i="3" l="1"/>
  <c r="H689" i="3" s="1"/>
  <c r="K689" i="3" s="1"/>
  <c r="AE689" i="3" s="1"/>
  <c r="G689" i="3"/>
  <c r="F689" i="3" l="1"/>
  <c r="I689" i="3"/>
  <c r="J689" i="3"/>
  <c r="M689" i="3"/>
  <c r="N689" i="3" s="1"/>
  <c r="V689" i="3"/>
  <c r="A690" i="3"/>
  <c r="B690" i="3" s="1"/>
  <c r="W689" i="3" l="1"/>
  <c r="L689" i="3"/>
  <c r="AA690" i="3"/>
  <c r="AC690" i="3"/>
  <c r="P690" i="3"/>
  <c r="Q690" i="3" s="1"/>
  <c r="R690" i="3" s="1"/>
  <c r="S690" i="3" s="1"/>
  <c r="AD690" i="3"/>
  <c r="Z690" i="3"/>
  <c r="U689" i="3" l="1"/>
  <c r="Y688" i="3"/>
  <c r="T690" i="3"/>
  <c r="AH690" i="3" s="1"/>
  <c r="D690" i="3" l="1"/>
  <c r="G690" i="3" s="1"/>
  <c r="E690" i="3"/>
  <c r="H690" i="3" s="1"/>
  <c r="K690" i="3" s="1"/>
  <c r="AE690" i="3" s="1"/>
  <c r="AG690" i="3"/>
  <c r="F690" i="3" l="1"/>
  <c r="I690" i="3"/>
  <c r="J690" i="3"/>
  <c r="M690" i="3"/>
  <c r="N690" i="3" s="1"/>
  <c r="V690" i="3"/>
  <c r="A691" i="3"/>
  <c r="B691" i="3" s="1"/>
  <c r="W690" i="3" l="1"/>
  <c r="L690" i="3"/>
  <c r="AA691" i="3"/>
  <c r="Z691" i="3"/>
  <c r="P691" i="3"/>
  <c r="Q691" i="3" s="1"/>
  <c r="R691" i="3" s="1"/>
  <c r="S691" i="3" s="1"/>
  <c r="AD691" i="3"/>
  <c r="AC691" i="3"/>
  <c r="T691" i="3" l="1"/>
  <c r="U690" i="3"/>
  <c r="Y689" i="3"/>
  <c r="D691" i="3" l="1"/>
  <c r="G691" i="3" s="1"/>
  <c r="AH691" i="3"/>
  <c r="E691" i="3"/>
  <c r="H691" i="3" s="1"/>
  <c r="AG691" i="3"/>
  <c r="F691" i="3" l="1"/>
  <c r="I691" i="3"/>
  <c r="J691" i="3"/>
  <c r="M691" i="3"/>
  <c r="N691" i="3" s="1"/>
  <c r="K691" i="3"/>
  <c r="AE691" i="3" s="1"/>
  <c r="V691" i="3" l="1"/>
  <c r="W691" i="3" s="1"/>
  <c r="A692" i="3"/>
  <c r="B692" i="3" s="1"/>
  <c r="L691" i="3"/>
  <c r="U691" i="3" l="1"/>
  <c r="Y690" i="3"/>
  <c r="AC692" i="3"/>
  <c r="AD692" i="3"/>
  <c r="AA692" i="3"/>
  <c r="Z692" i="3"/>
  <c r="P692" i="3"/>
  <c r="Q692" i="3" s="1"/>
  <c r="R692" i="3" s="1"/>
  <c r="S692" i="3" s="1"/>
  <c r="T692" i="3" l="1"/>
  <c r="E692" i="3" s="1"/>
  <c r="H692" i="3" s="1"/>
  <c r="D692" i="3" l="1"/>
  <c r="G692" i="3" s="1"/>
  <c r="AH692" i="3"/>
  <c r="K692" i="3"/>
  <c r="AE692" i="3" s="1"/>
  <c r="AG692" i="3"/>
  <c r="F692" i="3" l="1"/>
  <c r="I692" i="3"/>
  <c r="J692" i="3"/>
  <c r="M692" i="3"/>
  <c r="N692" i="3" s="1"/>
  <c r="V692" i="3"/>
  <c r="A693" i="3"/>
  <c r="B693" i="3" s="1"/>
  <c r="W692" i="3" l="1"/>
  <c r="L692" i="3"/>
  <c r="AC693" i="3"/>
  <c r="AA693" i="3"/>
  <c r="AD693" i="3"/>
  <c r="P693" i="3"/>
  <c r="Q693" i="3" s="1"/>
  <c r="R693" i="3" s="1"/>
  <c r="S693" i="3" s="1"/>
  <c r="Z693" i="3"/>
  <c r="U692" i="3" l="1"/>
  <c r="Y691" i="3"/>
  <c r="T693" i="3"/>
  <c r="AG693" i="3" s="1"/>
  <c r="D693" i="3" l="1"/>
  <c r="G693" i="3" s="1"/>
  <c r="E693" i="3"/>
  <c r="H693" i="3" s="1"/>
  <c r="K693" i="3" s="1"/>
  <c r="AE693" i="3" s="1"/>
  <c r="AH693" i="3"/>
  <c r="F693" i="3" l="1"/>
  <c r="V693" i="3"/>
  <c r="A694" i="3"/>
  <c r="B694" i="3" s="1"/>
  <c r="I693" i="3"/>
  <c r="J693" i="3"/>
  <c r="M693" i="3"/>
  <c r="N693" i="3" s="1"/>
  <c r="W693" i="3" l="1"/>
  <c r="L693" i="3"/>
  <c r="AA694" i="3"/>
  <c r="AC694" i="3"/>
  <c r="P694" i="3"/>
  <c r="Q694" i="3" s="1"/>
  <c r="R694" i="3" s="1"/>
  <c r="S694" i="3" s="1"/>
  <c r="Z694" i="3"/>
  <c r="U693" i="3" l="1"/>
  <c r="Y692" i="3"/>
  <c r="T694" i="3"/>
  <c r="AG694" i="3" s="1"/>
  <c r="E694" i="3" l="1"/>
  <c r="H694" i="3" s="1"/>
  <c r="K694" i="3" s="1"/>
  <c r="AE694" i="3" s="1"/>
  <c r="AH694" i="3"/>
  <c r="D694" i="3"/>
  <c r="G694" i="3" s="1"/>
  <c r="F694" i="3" l="1"/>
  <c r="I694" i="3"/>
  <c r="J694" i="3"/>
  <c r="AD694" i="3" s="1"/>
  <c r="M694" i="3"/>
  <c r="N694" i="3" s="1"/>
  <c r="V694" i="3"/>
  <c r="A695" i="3"/>
  <c r="B695" i="3" s="1"/>
  <c r="W694" i="3" l="1"/>
  <c r="L694" i="3"/>
  <c r="AD695" i="3"/>
  <c r="Z695" i="3"/>
  <c r="P695" i="3"/>
  <c r="Q695" i="3" s="1"/>
  <c r="R695" i="3" s="1"/>
  <c r="S695" i="3" s="1"/>
  <c r="AC695" i="3"/>
  <c r="AA695" i="3"/>
  <c r="U694" i="3" l="1"/>
  <c r="Y693" i="3"/>
  <c r="T695" i="3"/>
  <c r="E695" i="3" l="1"/>
  <c r="H695" i="3" s="1"/>
  <c r="K695" i="3" s="1"/>
  <c r="AE695" i="3" s="1"/>
  <c r="D695" i="3"/>
  <c r="AG695" i="3"/>
  <c r="AH695" i="3"/>
  <c r="V695" i="3" l="1"/>
  <c r="A696" i="3"/>
  <c r="B696" i="3" s="1"/>
  <c r="F695" i="3"/>
  <c r="G695" i="3"/>
  <c r="I695" i="3" l="1"/>
  <c r="W695" i="3" s="1"/>
  <c r="J695" i="3"/>
  <c r="M695" i="3"/>
  <c r="N695" i="3" s="1"/>
  <c r="AD696" i="3"/>
  <c r="AA696" i="3"/>
  <c r="Z696" i="3"/>
  <c r="P696" i="3"/>
  <c r="Q696" i="3" s="1"/>
  <c r="R696" i="3" s="1"/>
  <c r="S696" i="3" s="1"/>
  <c r="AC696" i="3"/>
  <c r="T696" i="3" l="1"/>
  <c r="L695" i="3"/>
  <c r="AH696" i="3" l="1"/>
  <c r="U695" i="3"/>
  <c r="D696" i="3" s="1"/>
  <c r="AG696" i="3"/>
  <c r="Y694" i="3"/>
  <c r="E696" i="3" l="1"/>
  <c r="H696" i="3" s="1"/>
  <c r="K696" i="3" s="1"/>
  <c r="AE696" i="3" s="1"/>
  <c r="G696" i="3"/>
  <c r="F696" i="3" l="1"/>
  <c r="V696" i="3"/>
  <c r="A697" i="3"/>
  <c r="B697" i="3" s="1"/>
  <c r="I696" i="3"/>
  <c r="J696" i="3"/>
  <c r="M696" i="3"/>
  <c r="N696" i="3" s="1"/>
  <c r="W696" i="3" l="1"/>
  <c r="AD697" i="3"/>
  <c r="P697" i="3"/>
  <c r="Q697" i="3" s="1"/>
  <c r="R697" i="3" s="1"/>
  <c r="S697" i="3" s="1"/>
  <c r="Z697" i="3"/>
  <c r="AA697" i="3"/>
  <c r="AC697" i="3"/>
  <c r="L696" i="3"/>
  <c r="U696" i="3" l="1"/>
  <c r="Y695" i="3"/>
  <c r="T697" i="3"/>
  <c r="E697" i="3" l="1"/>
  <c r="H697" i="3" s="1"/>
  <c r="K697" i="3" s="1"/>
  <c r="AE697" i="3" s="1"/>
  <c r="D697" i="3"/>
  <c r="AH697" i="3"/>
  <c r="AG697" i="3"/>
  <c r="F697" i="3" l="1"/>
  <c r="G697" i="3"/>
  <c r="M697" i="3" s="1"/>
  <c r="N697" i="3" s="1"/>
  <c r="V697" i="3"/>
  <c r="A698" i="3"/>
  <c r="B698" i="3" s="1"/>
  <c r="I697" i="3" l="1"/>
  <c r="W697" i="3" s="1"/>
  <c r="J697" i="3"/>
  <c r="L697" i="3" s="1"/>
  <c r="AD698" i="3"/>
  <c r="AA698" i="3"/>
  <c r="Z698" i="3"/>
  <c r="AC698" i="3"/>
  <c r="P698" i="3"/>
  <c r="Q698" i="3" s="1"/>
  <c r="R698" i="3" s="1"/>
  <c r="S698" i="3" s="1"/>
  <c r="U697" i="3" l="1"/>
  <c r="Y696" i="3"/>
  <c r="T698" i="3"/>
  <c r="AG698" i="3" s="1"/>
  <c r="E698" i="3" l="1"/>
  <c r="H698" i="3" s="1"/>
  <c r="K698" i="3" s="1"/>
  <c r="AE698" i="3" s="1"/>
  <c r="AH698" i="3"/>
  <c r="D698" i="3"/>
  <c r="F698" i="3" l="1"/>
  <c r="G698" i="3"/>
  <c r="J698" i="3" s="1"/>
  <c r="V698" i="3"/>
  <c r="A699" i="3"/>
  <c r="B699" i="3" s="1"/>
  <c r="M698" i="3" l="1"/>
  <c r="N698" i="3" s="1"/>
  <c r="I698" i="3"/>
  <c r="W698" i="3" s="1"/>
  <c r="L698" i="3"/>
  <c r="Z699" i="3"/>
  <c r="P699" i="3"/>
  <c r="Q699" i="3" s="1"/>
  <c r="R699" i="3" s="1"/>
  <c r="S699" i="3" s="1"/>
  <c r="AA699" i="3"/>
  <c r="AD699" i="3"/>
  <c r="AC699" i="3"/>
  <c r="T699" i="3" l="1"/>
  <c r="U698" i="3"/>
  <c r="Y697" i="3"/>
  <c r="D699" i="3" l="1"/>
  <c r="G699" i="3" s="1"/>
  <c r="AG699" i="3"/>
  <c r="AH699" i="3"/>
  <c r="E699" i="3"/>
  <c r="H699" i="3" s="1"/>
  <c r="K699" i="3" l="1"/>
  <c r="AE699" i="3" s="1"/>
  <c r="I699" i="3"/>
  <c r="J699" i="3"/>
  <c r="M699" i="3"/>
  <c r="N699" i="3" s="1"/>
  <c r="F699" i="3"/>
  <c r="L699" i="3" l="1"/>
  <c r="V699" i="3"/>
  <c r="W699" i="3" s="1"/>
  <c r="A700" i="3"/>
  <c r="B700" i="3" s="1"/>
  <c r="U699" i="3" l="1"/>
  <c r="Y698" i="3"/>
  <c r="Z700" i="3"/>
  <c r="P700" i="3"/>
  <c r="Q700" i="3" s="1"/>
  <c r="R700" i="3" s="1"/>
  <c r="S700" i="3" s="1"/>
  <c r="AD700" i="3"/>
  <c r="AC700" i="3"/>
  <c r="AA700" i="3"/>
  <c r="T700" i="3" l="1"/>
  <c r="D700" i="3" s="1"/>
  <c r="AH700" i="3" l="1"/>
  <c r="AG700" i="3"/>
  <c r="E700" i="3"/>
  <c r="H700" i="3" s="1"/>
  <c r="K700" i="3" s="1"/>
  <c r="AE700" i="3" s="1"/>
  <c r="G700" i="3"/>
  <c r="F700" i="3" l="1"/>
  <c r="I700" i="3"/>
  <c r="J700" i="3"/>
  <c r="M700" i="3"/>
  <c r="N700" i="3" s="1"/>
  <c r="V700" i="3"/>
  <c r="A701" i="3"/>
  <c r="B701" i="3" s="1"/>
  <c r="W700" i="3" l="1"/>
  <c r="L700" i="3"/>
  <c r="AC701" i="3"/>
  <c r="AA701" i="3"/>
  <c r="Z701" i="3"/>
  <c r="P701" i="3"/>
  <c r="Q701" i="3" s="1"/>
  <c r="R701" i="3" s="1"/>
  <c r="S701" i="3" s="1"/>
  <c r="AD701" i="3"/>
  <c r="U700" i="3" l="1"/>
  <c r="Y699" i="3"/>
  <c r="T701" i="3"/>
  <c r="AG701" i="3" s="1"/>
  <c r="AH701" i="3" l="1"/>
  <c r="E701" i="3"/>
  <c r="H701" i="3" s="1"/>
  <c r="D701" i="3"/>
  <c r="F701" i="3" l="1"/>
  <c r="G701" i="3"/>
  <c r="K701" i="3"/>
  <c r="AE701" i="3" s="1"/>
  <c r="I701" i="3" l="1"/>
  <c r="J701" i="3"/>
  <c r="M701" i="3"/>
  <c r="N701" i="3" s="1"/>
  <c r="V701" i="3"/>
  <c r="A702" i="3"/>
  <c r="B702" i="3" s="1"/>
  <c r="W701" i="3" l="1"/>
  <c r="L701" i="3"/>
  <c r="AC702" i="3"/>
  <c r="AD702" i="3"/>
  <c r="P702" i="3"/>
  <c r="Q702" i="3" s="1"/>
  <c r="R702" i="3" s="1"/>
  <c r="S702" i="3" s="1"/>
  <c r="Z702" i="3"/>
  <c r="AA702" i="3"/>
  <c r="U701" i="3" l="1"/>
  <c r="Y700" i="3"/>
  <c r="T702" i="3"/>
  <c r="AH702" i="3" s="1"/>
  <c r="D702" i="3" l="1"/>
  <c r="G702" i="3" s="1"/>
  <c r="E702" i="3"/>
  <c r="H702" i="3" s="1"/>
  <c r="K702" i="3" s="1"/>
  <c r="AE702" i="3" s="1"/>
  <c r="AG702" i="3"/>
  <c r="F702" i="3" l="1"/>
  <c r="V702" i="3"/>
  <c r="A703" i="3"/>
  <c r="B703" i="3" s="1"/>
  <c r="I702" i="3"/>
  <c r="J702" i="3"/>
  <c r="M702" i="3"/>
  <c r="N702" i="3" s="1"/>
  <c r="W702" i="3" l="1"/>
  <c r="L702" i="3"/>
  <c r="AC703" i="3"/>
  <c r="AD703" i="3"/>
  <c r="P703" i="3"/>
  <c r="Q703" i="3" s="1"/>
  <c r="R703" i="3" s="1"/>
  <c r="S703" i="3" s="1"/>
  <c r="AA703" i="3"/>
  <c r="Z703" i="3"/>
  <c r="T703" i="3" l="1"/>
  <c r="AH703" i="3" s="1"/>
  <c r="U702" i="3"/>
  <c r="Y701" i="3"/>
  <c r="E703" i="3" l="1"/>
  <c r="H703" i="3" s="1"/>
  <c r="K703" i="3" s="1"/>
  <c r="AE703" i="3" s="1"/>
  <c r="AG703" i="3"/>
  <c r="D703" i="3"/>
  <c r="F703" i="3" l="1"/>
  <c r="G703" i="3"/>
  <c r="V703" i="3"/>
  <c r="A704" i="3"/>
  <c r="B704" i="3" s="1"/>
  <c r="P704" i="3" l="1"/>
  <c r="Q704" i="3" s="1"/>
  <c r="R704" i="3" s="1"/>
  <c r="S704" i="3" s="1"/>
  <c r="AC704" i="3"/>
  <c r="Z704" i="3"/>
  <c r="AA704" i="3"/>
  <c r="I703" i="3"/>
  <c r="W703" i="3" s="1"/>
  <c r="J703" i="3"/>
  <c r="M703" i="3"/>
  <c r="N703" i="3" s="1"/>
  <c r="T704" i="3" l="1"/>
  <c r="L703" i="3"/>
  <c r="U703" i="3" l="1"/>
  <c r="D704" i="3" s="1"/>
  <c r="AG704" i="3"/>
  <c r="AH704" i="3"/>
  <c r="Y702" i="3"/>
  <c r="G704" i="3" l="1"/>
  <c r="E704" i="3"/>
  <c r="H704" i="3" s="1"/>
  <c r="F704" i="3" l="1"/>
  <c r="I704" i="3"/>
  <c r="J704" i="3"/>
  <c r="AD704" i="3" s="1"/>
  <c r="M704" i="3"/>
  <c r="N704" i="3" s="1"/>
  <c r="K704" i="3"/>
  <c r="AE704" i="3" s="1"/>
  <c r="V704" i="3" l="1"/>
  <c r="W704" i="3" s="1"/>
  <c r="A705" i="3"/>
  <c r="B705" i="3" s="1"/>
  <c r="L704" i="3"/>
  <c r="U704" i="3" l="1"/>
  <c r="Y703" i="3"/>
  <c r="Z705" i="3"/>
  <c r="P705" i="3"/>
  <c r="Q705" i="3" s="1"/>
  <c r="R705" i="3" s="1"/>
  <c r="S705" i="3" s="1"/>
  <c r="AC705" i="3"/>
  <c r="AA705" i="3"/>
  <c r="AD705" i="3"/>
  <c r="T705" i="3" l="1"/>
  <c r="AH705" i="3" s="1"/>
  <c r="AG705" i="3" l="1"/>
  <c r="D705" i="3"/>
  <c r="E705" i="3"/>
  <c r="H705" i="3" s="1"/>
  <c r="F705" i="3" l="1"/>
  <c r="G705" i="3"/>
  <c r="K705" i="3"/>
  <c r="AE705" i="3" s="1"/>
  <c r="I705" i="3" l="1"/>
  <c r="J705" i="3"/>
  <c r="M705" i="3"/>
  <c r="N705" i="3" s="1"/>
  <c r="V705" i="3"/>
  <c r="A706" i="3"/>
  <c r="B706" i="3" s="1"/>
  <c r="W705" i="3" l="1"/>
  <c r="L705" i="3"/>
  <c r="P706" i="3"/>
  <c r="Q706" i="3" s="1"/>
  <c r="R706" i="3" s="1"/>
  <c r="S706" i="3" s="1"/>
  <c r="AA706" i="3"/>
  <c r="AC706" i="3"/>
  <c r="Z706" i="3"/>
  <c r="AD706" i="3"/>
  <c r="U705" i="3" l="1"/>
  <c r="Y704" i="3"/>
  <c r="T706" i="3"/>
  <c r="AH706" i="3" s="1"/>
  <c r="E706" i="3" l="1"/>
  <c r="H706" i="3" s="1"/>
  <c r="D706" i="3"/>
  <c r="AG706" i="3"/>
  <c r="K706" i="3" l="1"/>
  <c r="AE706" i="3" s="1"/>
  <c r="F706" i="3"/>
  <c r="G706" i="3"/>
  <c r="I706" i="3" l="1"/>
  <c r="J706" i="3"/>
  <c r="M706" i="3"/>
  <c r="N706" i="3" s="1"/>
  <c r="V706" i="3"/>
  <c r="A707" i="3"/>
  <c r="B707" i="3" s="1"/>
  <c r="W706" i="3" l="1"/>
  <c r="P707" i="3"/>
  <c r="Q707" i="3" s="1"/>
  <c r="R707" i="3" s="1"/>
  <c r="S707" i="3" s="1"/>
  <c r="AD707" i="3"/>
  <c r="Z707" i="3"/>
  <c r="AC707" i="3"/>
  <c r="AA707" i="3"/>
  <c r="L706" i="3"/>
  <c r="T707" i="3" l="1"/>
  <c r="AG707" i="3" s="1"/>
  <c r="U706" i="3"/>
  <c r="Y705" i="3"/>
  <c r="E707" i="3" l="1"/>
  <c r="H707" i="3" s="1"/>
  <c r="K707" i="3" s="1"/>
  <c r="AE707" i="3" s="1"/>
  <c r="D707" i="3"/>
  <c r="AH707" i="3"/>
  <c r="V707" i="3" l="1"/>
  <c r="A708" i="3"/>
  <c r="B708" i="3" s="1"/>
  <c r="F707" i="3"/>
  <c r="G707" i="3"/>
  <c r="I707" i="3" l="1"/>
  <c r="W707" i="3" s="1"/>
  <c r="J707" i="3"/>
  <c r="M707" i="3"/>
  <c r="N707" i="3" s="1"/>
  <c r="AD708" i="3"/>
  <c r="P708" i="3"/>
  <c r="Q708" i="3" s="1"/>
  <c r="R708" i="3" s="1"/>
  <c r="S708" i="3" s="1"/>
  <c r="AC708" i="3"/>
  <c r="Z708" i="3"/>
  <c r="AA708" i="3"/>
  <c r="T708" i="3" l="1"/>
  <c r="L707" i="3"/>
  <c r="U707" i="3" l="1"/>
  <c r="D708" i="3" s="1"/>
  <c r="AG708" i="3"/>
  <c r="AH708" i="3"/>
  <c r="Y706" i="3"/>
  <c r="E708" i="3" l="1"/>
  <c r="H708" i="3" s="1"/>
  <c r="K708" i="3" s="1"/>
  <c r="AE708" i="3" s="1"/>
  <c r="G708" i="3"/>
  <c r="F708" i="3" l="1"/>
  <c r="I708" i="3"/>
  <c r="J708" i="3"/>
  <c r="M708" i="3"/>
  <c r="N708" i="3" s="1"/>
  <c r="V708" i="3"/>
  <c r="A709" i="3"/>
  <c r="B709" i="3" s="1"/>
  <c r="W708" i="3" l="1"/>
  <c r="L708" i="3"/>
  <c r="Z709" i="3"/>
  <c r="AA709" i="3"/>
  <c r="AD709" i="3"/>
  <c r="P709" i="3"/>
  <c r="Q709" i="3" s="1"/>
  <c r="R709" i="3" s="1"/>
  <c r="S709" i="3" s="1"/>
  <c r="AC709" i="3"/>
  <c r="U708" i="3" l="1"/>
  <c r="Y707" i="3"/>
  <c r="T709" i="3"/>
  <c r="AG709" i="3" s="1"/>
  <c r="AH709" i="3" l="1"/>
  <c r="E709" i="3"/>
  <c r="H709" i="3" s="1"/>
  <c r="D709" i="3"/>
  <c r="F709" i="3" l="1"/>
  <c r="G709" i="3"/>
  <c r="K709" i="3"/>
  <c r="AE709" i="3" s="1"/>
  <c r="V709" i="3" l="1"/>
  <c r="A710" i="3"/>
  <c r="B710" i="3" s="1"/>
  <c r="I709" i="3"/>
  <c r="J709" i="3"/>
  <c r="M709" i="3"/>
  <c r="N709" i="3" s="1"/>
  <c r="W709" i="3" l="1"/>
  <c r="L709" i="3"/>
  <c r="AD710" i="3"/>
  <c r="AC710" i="3"/>
  <c r="Z710" i="3"/>
  <c r="AA710" i="3"/>
  <c r="P710" i="3"/>
  <c r="Q710" i="3" s="1"/>
  <c r="R710" i="3" s="1"/>
  <c r="S710" i="3" s="1"/>
  <c r="U709" i="3" l="1"/>
  <c r="Y708" i="3"/>
  <c r="T710" i="3"/>
  <c r="AH710" i="3" s="1"/>
  <c r="D710" i="3" l="1"/>
  <c r="E710" i="3"/>
  <c r="H710" i="3" s="1"/>
  <c r="AG710" i="3"/>
  <c r="F710" i="3" l="1"/>
  <c r="G710" i="3"/>
  <c r="K710" i="3"/>
  <c r="AE710" i="3" s="1"/>
  <c r="I710" i="3" l="1"/>
  <c r="J710" i="3"/>
  <c r="M710" i="3"/>
  <c r="N710" i="3" s="1"/>
  <c r="V710" i="3"/>
  <c r="A711" i="3"/>
  <c r="B711" i="3" s="1"/>
  <c r="W710" i="3" l="1"/>
  <c r="L710" i="3"/>
  <c r="AA711" i="3"/>
  <c r="AC711" i="3"/>
  <c r="Z711" i="3"/>
  <c r="AD711" i="3"/>
  <c r="P711" i="3"/>
  <c r="Q711" i="3" s="1"/>
  <c r="R711" i="3" s="1"/>
  <c r="S711" i="3" s="1"/>
  <c r="T711" i="3" l="1"/>
  <c r="U710" i="3"/>
  <c r="Y709" i="3"/>
  <c r="D711" i="3" l="1"/>
  <c r="G711" i="3" s="1"/>
  <c r="E711" i="3"/>
  <c r="H711" i="3" s="1"/>
  <c r="AH711" i="3"/>
  <c r="AG711" i="3"/>
  <c r="F711" i="3" l="1"/>
  <c r="K711" i="3"/>
  <c r="AE711" i="3" s="1"/>
  <c r="I711" i="3"/>
  <c r="J711" i="3"/>
  <c r="M711" i="3"/>
  <c r="N711" i="3" s="1"/>
  <c r="L711" i="3" l="1"/>
  <c r="V711" i="3"/>
  <c r="W711" i="3" s="1"/>
  <c r="A712" i="3"/>
  <c r="B712" i="3" s="1"/>
  <c r="AC712" i="3" l="1"/>
  <c r="AD712" i="3"/>
  <c r="P712" i="3"/>
  <c r="Q712" i="3" s="1"/>
  <c r="R712" i="3" s="1"/>
  <c r="S712" i="3" s="1"/>
  <c r="AA712" i="3"/>
  <c r="Z712" i="3"/>
  <c r="U711" i="3"/>
  <c r="Y710" i="3"/>
  <c r="T712" i="3" l="1"/>
  <c r="AG712" i="3" l="1"/>
  <c r="D712" i="3"/>
  <c r="E712" i="3"/>
  <c r="H712" i="3" s="1"/>
  <c r="AH712" i="3"/>
  <c r="K712" i="3" l="1"/>
  <c r="AE712" i="3" s="1"/>
  <c r="F712" i="3"/>
  <c r="G712" i="3"/>
  <c r="V712" i="3" l="1"/>
  <c r="A713" i="3"/>
  <c r="B713" i="3" s="1"/>
  <c r="I712" i="3"/>
  <c r="J712" i="3"/>
  <c r="M712" i="3"/>
  <c r="N712" i="3" s="1"/>
  <c r="W712" i="3" l="1"/>
  <c r="L712" i="3"/>
  <c r="Z713" i="3"/>
  <c r="P713" i="3"/>
  <c r="Q713" i="3" s="1"/>
  <c r="R713" i="3" s="1"/>
  <c r="S713" i="3" s="1"/>
  <c r="AC713" i="3"/>
  <c r="AD713" i="3"/>
  <c r="AA713" i="3"/>
  <c r="T713" i="3" l="1"/>
  <c r="AH713" i="3" s="1"/>
  <c r="U712" i="3"/>
  <c r="Y711" i="3"/>
  <c r="D713" i="3" l="1"/>
  <c r="AG713" i="3"/>
  <c r="E713" i="3"/>
  <c r="H713" i="3" s="1"/>
  <c r="F713" i="3" l="1"/>
  <c r="G713" i="3"/>
  <c r="M713" i="3" s="1"/>
  <c r="N713" i="3" s="1"/>
  <c r="K713" i="3"/>
  <c r="AE713" i="3" s="1"/>
  <c r="I713" i="3" l="1"/>
  <c r="J713" i="3"/>
  <c r="L713" i="3" s="1"/>
  <c r="V713" i="3"/>
  <c r="A714" i="3"/>
  <c r="B714" i="3" s="1"/>
  <c r="W713" i="3" l="1"/>
  <c r="U713" i="3"/>
  <c r="Y712" i="3"/>
  <c r="AA714" i="3"/>
  <c r="P714" i="3"/>
  <c r="Q714" i="3" s="1"/>
  <c r="R714" i="3" s="1"/>
  <c r="S714" i="3" s="1"/>
  <c r="Z714" i="3"/>
  <c r="AC714" i="3"/>
  <c r="T714" i="3" l="1"/>
  <c r="AH714" i="3" s="1"/>
  <c r="D714" i="3" l="1"/>
  <c r="G714" i="3" s="1"/>
  <c r="E714" i="3"/>
  <c r="H714" i="3" s="1"/>
  <c r="K714" i="3" s="1"/>
  <c r="AE714" i="3" s="1"/>
  <c r="AG714" i="3"/>
  <c r="F714" i="3" l="1"/>
  <c r="V714" i="3"/>
  <c r="A715" i="3"/>
  <c r="B715" i="3" s="1"/>
  <c r="I714" i="3"/>
  <c r="J714" i="3"/>
  <c r="AD714" i="3" s="1"/>
  <c r="M714" i="3"/>
  <c r="N714" i="3" s="1"/>
  <c r="L714" i="3" l="1"/>
  <c r="W714" i="3"/>
  <c r="AC715" i="3"/>
  <c r="P715" i="3"/>
  <c r="Q715" i="3" s="1"/>
  <c r="R715" i="3" s="1"/>
  <c r="S715" i="3" s="1"/>
  <c r="Z715" i="3"/>
  <c r="AA715" i="3"/>
  <c r="AD715" i="3"/>
  <c r="U714" i="3" l="1"/>
  <c r="Y713" i="3"/>
  <c r="T715" i="3"/>
  <c r="AG715" i="3" s="1"/>
  <c r="AH715" i="3" l="1"/>
  <c r="D715" i="3"/>
  <c r="G715" i="3" s="1"/>
  <c r="E715" i="3"/>
  <c r="H715" i="3" s="1"/>
  <c r="F715" i="3" l="1"/>
  <c r="I715" i="3"/>
  <c r="J715" i="3"/>
  <c r="M715" i="3"/>
  <c r="N715" i="3" s="1"/>
  <c r="K715" i="3"/>
  <c r="AE715" i="3" s="1"/>
  <c r="V715" i="3" l="1"/>
  <c r="W715" i="3" s="1"/>
  <c r="A716" i="3"/>
  <c r="B716" i="3" s="1"/>
  <c r="L715" i="3"/>
  <c r="U715" i="3" l="1"/>
  <c r="Y714" i="3"/>
  <c r="AC716" i="3"/>
  <c r="Z716" i="3"/>
  <c r="P716" i="3"/>
  <c r="Q716" i="3" s="1"/>
  <c r="R716" i="3" s="1"/>
  <c r="S716" i="3" s="1"/>
  <c r="AA716" i="3"/>
  <c r="AD716" i="3"/>
  <c r="T716" i="3" l="1"/>
  <c r="D716" i="3" s="1"/>
  <c r="E716" i="3" l="1"/>
  <c r="H716" i="3" s="1"/>
  <c r="K716" i="3" s="1"/>
  <c r="AE716" i="3" s="1"/>
  <c r="AH716" i="3"/>
  <c r="AG716" i="3"/>
  <c r="G716" i="3"/>
  <c r="F716" i="3" l="1"/>
  <c r="I716" i="3"/>
  <c r="J716" i="3"/>
  <c r="M716" i="3"/>
  <c r="N716" i="3" s="1"/>
  <c r="V716" i="3"/>
  <c r="A717" i="3"/>
  <c r="B717" i="3" s="1"/>
  <c r="W716" i="3" l="1"/>
  <c r="L716" i="3"/>
  <c r="AC717" i="3"/>
  <c r="P717" i="3"/>
  <c r="Q717" i="3" s="1"/>
  <c r="R717" i="3" s="1"/>
  <c r="S717" i="3" s="1"/>
  <c r="AD717" i="3"/>
  <c r="Z717" i="3"/>
  <c r="AA717" i="3"/>
  <c r="U716" i="3" l="1"/>
  <c r="Y715" i="3"/>
  <c r="T717" i="3"/>
  <c r="AG717" i="3" s="1"/>
  <c r="E717" i="3" l="1"/>
  <c r="H717" i="3" s="1"/>
  <c r="K717" i="3" s="1"/>
  <c r="AE717" i="3" s="1"/>
  <c r="AH717" i="3"/>
  <c r="D717" i="3"/>
  <c r="V717" i="3" l="1"/>
  <c r="A718" i="3"/>
  <c r="B718" i="3" s="1"/>
  <c r="F717" i="3"/>
  <c r="G717" i="3"/>
  <c r="I717" i="3" l="1"/>
  <c r="W717" i="3" s="1"/>
  <c r="J717" i="3"/>
  <c r="M717" i="3"/>
  <c r="N717" i="3" s="1"/>
  <c r="P718" i="3"/>
  <c r="Q718" i="3" s="1"/>
  <c r="R718" i="3" s="1"/>
  <c r="S718" i="3" s="1"/>
  <c r="AC718" i="3"/>
  <c r="Z718" i="3"/>
  <c r="AD718" i="3"/>
  <c r="AA718" i="3"/>
  <c r="L717" i="3" l="1"/>
  <c r="T718" i="3"/>
  <c r="U717" i="3" l="1"/>
  <c r="E718" i="3" s="1"/>
  <c r="H718" i="3" s="1"/>
  <c r="AH718" i="3"/>
  <c r="AG718" i="3"/>
  <c r="Y716" i="3"/>
  <c r="K718" i="3" l="1"/>
  <c r="AE718" i="3" s="1"/>
  <c r="D718" i="3"/>
  <c r="V718" i="3" l="1"/>
  <c r="A719" i="3"/>
  <c r="B719" i="3" s="1"/>
  <c r="F718" i="3"/>
  <c r="G718" i="3"/>
  <c r="I718" i="3" l="1"/>
  <c r="W718" i="3" s="1"/>
  <c r="J718" i="3"/>
  <c r="M718" i="3"/>
  <c r="N718" i="3" s="1"/>
  <c r="AD719" i="3"/>
  <c r="Z719" i="3"/>
  <c r="P719" i="3"/>
  <c r="Q719" i="3" s="1"/>
  <c r="R719" i="3" s="1"/>
  <c r="S719" i="3" s="1"/>
  <c r="AA719" i="3"/>
  <c r="AC719" i="3"/>
  <c r="T719" i="3" l="1"/>
  <c r="L718" i="3"/>
  <c r="AG719" i="3" l="1"/>
  <c r="AH719" i="3"/>
  <c r="U718" i="3"/>
  <c r="E719" i="3" s="1"/>
  <c r="H719" i="3" s="1"/>
  <c r="Y717" i="3"/>
  <c r="D719" i="3" l="1"/>
  <c r="G719" i="3" s="1"/>
  <c r="K719" i="3"/>
  <c r="AE719" i="3" s="1"/>
  <c r="F719" i="3" l="1"/>
  <c r="I719" i="3"/>
  <c r="J719" i="3"/>
  <c r="M719" i="3"/>
  <c r="N719" i="3" s="1"/>
  <c r="V719" i="3"/>
  <c r="A720" i="3"/>
  <c r="B720" i="3" s="1"/>
  <c r="W719" i="3" l="1"/>
  <c r="L719" i="3"/>
  <c r="P720" i="3"/>
  <c r="Q720" i="3" s="1"/>
  <c r="R720" i="3" s="1"/>
  <c r="S720" i="3" s="1"/>
  <c r="AA720" i="3"/>
  <c r="AC720" i="3"/>
  <c r="Z720" i="3"/>
  <c r="AD720" i="3"/>
  <c r="U719" i="3" l="1"/>
  <c r="Y718" i="3"/>
  <c r="T720" i="3"/>
  <c r="AG720" i="3" s="1"/>
  <c r="E720" i="3" l="1"/>
  <c r="H720" i="3" s="1"/>
  <c r="K720" i="3" s="1"/>
  <c r="AE720" i="3" s="1"/>
  <c r="D720" i="3"/>
  <c r="AH720" i="3"/>
  <c r="V720" i="3" l="1"/>
  <c r="A721" i="3"/>
  <c r="B721" i="3" s="1"/>
  <c r="F720" i="3"/>
  <c r="G720" i="3"/>
  <c r="I720" i="3" l="1"/>
  <c r="W720" i="3" s="1"/>
  <c r="J720" i="3"/>
  <c r="M720" i="3"/>
  <c r="N720" i="3" s="1"/>
  <c r="AD721" i="3"/>
  <c r="AA721" i="3"/>
  <c r="Z721" i="3"/>
  <c r="AC721" i="3"/>
  <c r="P721" i="3"/>
  <c r="Q721" i="3" s="1"/>
  <c r="R721" i="3" s="1"/>
  <c r="S721" i="3" s="1"/>
  <c r="T721" i="3" l="1"/>
  <c r="L720" i="3"/>
  <c r="AG721" i="3" l="1"/>
  <c r="U720" i="3"/>
  <c r="D721" i="3" s="1"/>
  <c r="AH721" i="3"/>
  <c r="Y719" i="3"/>
  <c r="G721" i="3" l="1"/>
  <c r="E721" i="3"/>
  <c r="H721" i="3" s="1"/>
  <c r="F721" i="3" l="1"/>
  <c r="I721" i="3"/>
  <c r="J721" i="3"/>
  <c r="M721" i="3"/>
  <c r="N721" i="3" s="1"/>
  <c r="K721" i="3"/>
  <c r="AE721" i="3" s="1"/>
  <c r="V721" i="3" l="1"/>
  <c r="W721" i="3" s="1"/>
  <c r="A722" i="3"/>
  <c r="B722" i="3" s="1"/>
  <c r="L721" i="3"/>
  <c r="U721" i="3" l="1"/>
  <c r="Y720" i="3"/>
  <c r="AA722" i="3"/>
  <c r="AC722" i="3"/>
  <c r="P722" i="3"/>
  <c r="Q722" i="3" s="1"/>
  <c r="R722" i="3" s="1"/>
  <c r="S722" i="3" s="1"/>
  <c r="Z722" i="3"/>
  <c r="AD722" i="3"/>
  <c r="T722" i="3" l="1"/>
  <c r="AH722" i="3" s="1"/>
  <c r="E722" i="3" l="1"/>
  <c r="H722" i="3" s="1"/>
  <c r="K722" i="3" s="1"/>
  <c r="AE722" i="3" s="1"/>
  <c r="D722" i="3"/>
  <c r="AG722" i="3"/>
  <c r="V722" i="3" l="1"/>
  <c r="A723" i="3"/>
  <c r="B723" i="3" s="1"/>
  <c r="F722" i="3"/>
  <c r="G722" i="3"/>
  <c r="I722" i="3" l="1"/>
  <c r="W722" i="3" s="1"/>
  <c r="J722" i="3"/>
  <c r="M722" i="3"/>
  <c r="N722" i="3" s="1"/>
  <c r="Z723" i="3"/>
  <c r="AA723" i="3"/>
  <c r="AC723" i="3"/>
  <c r="P723" i="3"/>
  <c r="Q723" i="3" s="1"/>
  <c r="R723" i="3" s="1"/>
  <c r="S723" i="3" s="1"/>
  <c r="AD723" i="3"/>
  <c r="T723" i="3" l="1"/>
  <c r="L722" i="3"/>
  <c r="U722" i="3" l="1"/>
  <c r="E723" i="3" s="1"/>
  <c r="H723" i="3" s="1"/>
  <c r="AG723" i="3"/>
  <c r="AH723" i="3"/>
  <c r="Y721" i="3"/>
  <c r="D723" i="3" l="1"/>
  <c r="G723" i="3" s="1"/>
  <c r="K723" i="3"/>
  <c r="AE723" i="3" s="1"/>
  <c r="F723" i="3" l="1"/>
  <c r="V723" i="3"/>
  <c r="A724" i="3"/>
  <c r="B724" i="3" s="1"/>
  <c r="I723" i="3"/>
  <c r="J723" i="3"/>
  <c r="M723" i="3"/>
  <c r="N723" i="3" s="1"/>
  <c r="W723" i="3" l="1"/>
  <c r="L723" i="3"/>
  <c r="AA724" i="3"/>
  <c r="Z724" i="3"/>
  <c r="AC724" i="3"/>
  <c r="P724" i="3"/>
  <c r="Q724" i="3" s="1"/>
  <c r="R724" i="3" s="1"/>
  <c r="S724" i="3" s="1"/>
  <c r="T724" i="3" l="1"/>
  <c r="AH724" i="3" s="1"/>
  <c r="U723" i="3"/>
  <c r="Y722" i="3"/>
  <c r="D724" i="3" l="1"/>
  <c r="E724" i="3"/>
  <c r="H724" i="3" s="1"/>
  <c r="AG724" i="3"/>
  <c r="K724" i="3" l="1"/>
  <c r="AE724" i="3" s="1"/>
  <c r="F724" i="3"/>
  <c r="G724" i="3"/>
  <c r="I724" i="3" l="1"/>
  <c r="J724" i="3"/>
  <c r="AD724" i="3" s="1"/>
  <c r="M724" i="3"/>
  <c r="N724" i="3" s="1"/>
  <c r="V724" i="3"/>
  <c r="A725" i="3"/>
  <c r="B725" i="3" s="1"/>
  <c r="W724" i="3" l="1"/>
  <c r="L724" i="3"/>
  <c r="AC725" i="3"/>
  <c r="P725" i="3"/>
  <c r="Q725" i="3" s="1"/>
  <c r="R725" i="3" s="1"/>
  <c r="S725" i="3" s="1"/>
  <c r="Z725" i="3"/>
  <c r="AA725" i="3"/>
  <c r="AD725" i="3"/>
  <c r="U724" i="3" l="1"/>
  <c r="Y723" i="3"/>
  <c r="T725" i="3"/>
  <c r="AG725" i="3" s="1"/>
  <c r="AH725" i="3" l="1"/>
  <c r="D725" i="3"/>
  <c r="G725" i="3" s="1"/>
  <c r="E725" i="3"/>
  <c r="H725" i="3" s="1"/>
  <c r="F725" i="3" l="1"/>
  <c r="I725" i="3"/>
  <c r="J725" i="3"/>
  <c r="M725" i="3"/>
  <c r="N725" i="3" s="1"/>
  <c r="K725" i="3"/>
  <c r="AE725" i="3" s="1"/>
  <c r="V725" i="3" l="1"/>
  <c r="W725" i="3" s="1"/>
  <c r="A726" i="3"/>
  <c r="B726" i="3" s="1"/>
  <c r="L725" i="3"/>
  <c r="U725" i="3" l="1"/>
  <c r="Y724" i="3"/>
  <c r="Z726" i="3"/>
  <c r="P726" i="3"/>
  <c r="Q726" i="3" s="1"/>
  <c r="R726" i="3" s="1"/>
  <c r="S726" i="3" s="1"/>
  <c r="AA726" i="3"/>
  <c r="AD726" i="3"/>
  <c r="AC726" i="3"/>
  <c r="T726" i="3" l="1"/>
  <c r="AG726" i="3" s="1"/>
  <c r="D726" i="3" l="1"/>
  <c r="G726" i="3" s="1"/>
  <c r="E726" i="3"/>
  <c r="H726" i="3" s="1"/>
  <c r="K726" i="3" s="1"/>
  <c r="AE726" i="3" s="1"/>
  <c r="AH726" i="3"/>
  <c r="F726" i="3" l="1"/>
  <c r="I726" i="3"/>
  <c r="J726" i="3"/>
  <c r="M726" i="3"/>
  <c r="N726" i="3" s="1"/>
  <c r="V726" i="3"/>
  <c r="A727" i="3"/>
  <c r="B727" i="3" s="1"/>
  <c r="W726" i="3" l="1"/>
  <c r="L726" i="3"/>
  <c r="P727" i="3"/>
  <c r="Q727" i="3" s="1"/>
  <c r="R727" i="3" s="1"/>
  <c r="S727" i="3" s="1"/>
  <c r="Z727" i="3"/>
  <c r="AA727" i="3"/>
  <c r="AC727" i="3"/>
  <c r="AD727" i="3"/>
  <c r="U726" i="3" l="1"/>
  <c r="Y725" i="3"/>
  <c r="T727" i="3"/>
  <c r="AH727" i="3" s="1"/>
  <c r="E727" i="3" l="1"/>
  <c r="H727" i="3" s="1"/>
  <c r="K727" i="3" s="1"/>
  <c r="AE727" i="3" s="1"/>
  <c r="D727" i="3"/>
  <c r="AG727" i="3"/>
  <c r="F727" i="3" l="1"/>
  <c r="G727" i="3"/>
  <c r="M727" i="3" s="1"/>
  <c r="N727" i="3" s="1"/>
  <c r="V727" i="3"/>
  <c r="A728" i="3"/>
  <c r="B728" i="3" s="1"/>
  <c r="I727" i="3" l="1"/>
  <c r="W727" i="3" s="1"/>
  <c r="J727" i="3"/>
  <c r="L727" i="3" s="1"/>
  <c r="AA728" i="3"/>
  <c r="P728" i="3"/>
  <c r="Q728" i="3" s="1"/>
  <c r="R728" i="3" s="1"/>
  <c r="S728" i="3" s="1"/>
  <c r="AC728" i="3"/>
  <c r="Z728" i="3"/>
  <c r="AD728" i="3"/>
  <c r="U727" i="3" l="1"/>
  <c r="Y726" i="3"/>
  <c r="T728" i="3"/>
  <c r="D728" i="3" l="1"/>
  <c r="G728" i="3" s="1"/>
  <c r="AG728" i="3"/>
  <c r="E728" i="3"/>
  <c r="H728" i="3" s="1"/>
  <c r="AH728" i="3"/>
  <c r="F728" i="3" l="1"/>
  <c r="I728" i="3"/>
  <c r="J728" i="3"/>
  <c r="M728" i="3"/>
  <c r="N728" i="3" s="1"/>
  <c r="K728" i="3"/>
  <c r="AE728" i="3" s="1"/>
  <c r="V728" i="3" l="1"/>
  <c r="W728" i="3" s="1"/>
  <c r="A729" i="3"/>
  <c r="B729" i="3" s="1"/>
  <c r="L728" i="3"/>
  <c r="U728" i="3" l="1"/>
  <c r="Y727" i="3"/>
  <c r="P729" i="3"/>
  <c r="Q729" i="3" s="1"/>
  <c r="R729" i="3" s="1"/>
  <c r="S729" i="3" s="1"/>
  <c r="AA729" i="3"/>
  <c r="AD729" i="3"/>
  <c r="AC729" i="3"/>
  <c r="Z729" i="3"/>
  <c r="T729" i="3" l="1"/>
  <c r="E729" i="3" s="1"/>
  <c r="H729" i="3" s="1"/>
  <c r="AH729" i="3" l="1"/>
  <c r="D729" i="3"/>
  <c r="F729" i="3" s="1"/>
  <c r="AG729" i="3"/>
  <c r="K729" i="3"/>
  <c r="AE729" i="3" s="1"/>
  <c r="G729" i="3" l="1"/>
  <c r="I729" i="3" s="1"/>
  <c r="V729" i="3"/>
  <c r="A730" i="3"/>
  <c r="B730" i="3" s="1"/>
  <c r="W729" i="3" l="1"/>
  <c r="J729" i="3"/>
  <c r="L729" i="3" s="1"/>
  <c r="M729" i="3"/>
  <c r="N729" i="3" s="1"/>
  <c r="AA730" i="3"/>
  <c r="Z730" i="3"/>
  <c r="AD730" i="3"/>
  <c r="P730" i="3"/>
  <c r="Q730" i="3" s="1"/>
  <c r="R730" i="3" s="1"/>
  <c r="S730" i="3" s="1"/>
  <c r="AC730" i="3"/>
  <c r="U729" i="3" l="1"/>
  <c r="Y728" i="3"/>
  <c r="T730" i="3"/>
  <c r="AG730" i="3" s="1"/>
  <c r="D730" i="3" l="1"/>
  <c r="E730" i="3"/>
  <c r="H730" i="3" s="1"/>
  <c r="AH730" i="3"/>
  <c r="K730" i="3" l="1"/>
  <c r="AE730" i="3" s="1"/>
  <c r="F730" i="3"/>
  <c r="G730" i="3"/>
  <c r="I730" i="3" l="1"/>
  <c r="J730" i="3"/>
  <c r="M730" i="3"/>
  <c r="N730" i="3" s="1"/>
  <c r="V730" i="3"/>
  <c r="A731" i="3"/>
  <c r="B731" i="3" s="1"/>
  <c r="W730" i="3" l="1"/>
  <c r="L730" i="3"/>
  <c r="P731" i="3"/>
  <c r="Q731" i="3" s="1"/>
  <c r="R731" i="3" s="1"/>
  <c r="S731" i="3" s="1"/>
  <c r="Z731" i="3"/>
  <c r="AA731" i="3"/>
  <c r="AD731" i="3"/>
  <c r="AC731" i="3"/>
  <c r="U730" i="3" l="1"/>
  <c r="Y729" i="3"/>
  <c r="T731" i="3"/>
  <c r="AG731" i="3" s="1"/>
  <c r="E731" i="3" l="1"/>
  <c r="H731" i="3" s="1"/>
  <c r="K731" i="3" s="1"/>
  <c r="AE731" i="3" s="1"/>
  <c r="AH731" i="3"/>
  <c r="D731" i="3"/>
  <c r="F731" i="3" l="1"/>
  <c r="G731" i="3"/>
  <c r="J731" i="3" s="1"/>
  <c r="V731" i="3"/>
  <c r="A732" i="3"/>
  <c r="B732" i="3" s="1"/>
  <c r="M731" i="3" l="1"/>
  <c r="N731" i="3" s="1"/>
  <c r="I731" i="3"/>
  <c r="W731" i="3" s="1"/>
  <c r="L731" i="3"/>
  <c r="AC732" i="3"/>
  <c r="Z732" i="3"/>
  <c r="AD732" i="3"/>
  <c r="AA732" i="3"/>
  <c r="P732" i="3"/>
  <c r="Q732" i="3" s="1"/>
  <c r="R732" i="3" s="1"/>
  <c r="S732" i="3" s="1"/>
  <c r="U731" i="3" l="1"/>
  <c r="Y730" i="3"/>
  <c r="T732" i="3"/>
  <c r="E732" i="3" l="1"/>
  <c r="H732" i="3" s="1"/>
  <c r="K732" i="3" s="1"/>
  <c r="AE732" i="3" s="1"/>
  <c r="D732" i="3"/>
  <c r="G732" i="3" s="1"/>
  <c r="AH732" i="3"/>
  <c r="AG732" i="3"/>
  <c r="F732" i="3" l="1"/>
  <c r="I732" i="3"/>
  <c r="J732" i="3"/>
  <c r="M732" i="3"/>
  <c r="N732" i="3" s="1"/>
  <c r="V732" i="3"/>
  <c r="A733" i="3"/>
  <c r="B733" i="3" s="1"/>
  <c r="W732" i="3" l="1"/>
  <c r="L732" i="3"/>
  <c r="AC733" i="3"/>
  <c r="P733" i="3"/>
  <c r="Q733" i="3" s="1"/>
  <c r="R733" i="3" s="1"/>
  <c r="S733" i="3" s="1"/>
  <c r="AA733" i="3"/>
  <c r="Z733" i="3"/>
  <c r="AD733" i="3"/>
  <c r="T733" i="3" l="1"/>
  <c r="AH733" i="3" s="1"/>
  <c r="U732" i="3"/>
  <c r="Y731" i="3"/>
  <c r="D733" i="3" l="1"/>
  <c r="G733" i="3" s="1"/>
  <c r="E733" i="3"/>
  <c r="H733" i="3" s="1"/>
  <c r="AG733" i="3"/>
  <c r="F733" i="3" l="1"/>
  <c r="I733" i="3"/>
  <c r="J733" i="3"/>
  <c r="M733" i="3"/>
  <c r="N733" i="3" s="1"/>
  <c r="K733" i="3"/>
  <c r="AE733" i="3" s="1"/>
  <c r="V733" i="3" l="1"/>
  <c r="W733" i="3" s="1"/>
  <c r="A734" i="3"/>
  <c r="B734" i="3" s="1"/>
  <c r="L733" i="3"/>
  <c r="U733" i="3" l="1"/>
  <c r="Y732" i="3"/>
  <c r="P734" i="3"/>
  <c r="Q734" i="3" s="1"/>
  <c r="R734" i="3" s="1"/>
  <c r="S734" i="3" s="1"/>
  <c r="AC734" i="3"/>
  <c r="AA734" i="3"/>
  <c r="Z734" i="3"/>
  <c r="T734" i="3" l="1"/>
  <c r="AG734" i="3" s="1"/>
  <c r="D734" i="3" l="1"/>
  <c r="E734" i="3"/>
  <c r="H734" i="3" s="1"/>
  <c r="K734" i="3" s="1"/>
  <c r="AE734" i="3" s="1"/>
  <c r="AH734" i="3"/>
  <c r="F734" i="3" l="1"/>
  <c r="G734" i="3"/>
  <c r="M734" i="3" s="1"/>
  <c r="N734" i="3" s="1"/>
  <c r="V734" i="3"/>
  <c r="A735" i="3"/>
  <c r="B735" i="3" s="1"/>
  <c r="I734" i="3" l="1"/>
  <c r="W734" i="3" s="1"/>
  <c r="J734" i="3"/>
  <c r="AA735" i="3"/>
  <c r="Z735" i="3"/>
  <c r="P735" i="3"/>
  <c r="Q735" i="3" s="1"/>
  <c r="R735" i="3" s="1"/>
  <c r="S735" i="3" s="1"/>
  <c r="AC735" i="3"/>
  <c r="AD735" i="3"/>
  <c r="L734" i="3" l="1"/>
  <c r="Y733" i="3" s="1"/>
  <c r="AD734" i="3"/>
  <c r="T735" i="3"/>
  <c r="U734" i="3" l="1"/>
  <c r="E735" i="3" s="1"/>
  <c r="H735" i="3" s="1"/>
  <c r="AH735" i="3"/>
  <c r="AG735" i="3"/>
  <c r="D735" i="3" l="1"/>
  <c r="G735" i="3" s="1"/>
  <c r="M735" i="3" s="1"/>
  <c r="N735" i="3" s="1"/>
  <c r="K735" i="3"/>
  <c r="AE735" i="3" s="1"/>
  <c r="F735" i="3" l="1"/>
  <c r="I735" i="3"/>
  <c r="J735" i="3"/>
  <c r="L735" i="3" s="1"/>
  <c r="V735" i="3"/>
  <c r="A736" i="3"/>
  <c r="B736" i="3" s="1"/>
  <c r="W735" i="3" l="1"/>
  <c r="U735" i="3"/>
  <c r="Y734" i="3"/>
  <c r="Z736" i="3"/>
  <c r="P736" i="3"/>
  <c r="Q736" i="3" s="1"/>
  <c r="R736" i="3" s="1"/>
  <c r="S736" i="3" s="1"/>
  <c r="AA736" i="3"/>
  <c r="AD736" i="3"/>
  <c r="AC736" i="3"/>
  <c r="T736" i="3" l="1"/>
  <c r="E736" i="3" s="1"/>
  <c r="H736" i="3" s="1"/>
  <c r="AH736" i="3" l="1"/>
  <c r="D736" i="3"/>
  <c r="F736" i="3" s="1"/>
  <c r="K736" i="3"/>
  <c r="AE736" i="3" s="1"/>
  <c r="AG736" i="3"/>
  <c r="G736" i="3" l="1"/>
  <c r="M736" i="3" s="1"/>
  <c r="N736" i="3" s="1"/>
  <c r="V736" i="3"/>
  <c r="A737" i="3"/>
  <c r="B737" i="3" s="1"/>
  <c r="I736" i="3" l="1"/>
  <c r="W736" i="3" s="1"/>
  <c r="J736" i="3"/>
  <c r="L736" i="3" s="1"/>
  <c r="AC737" i="3"/>
  <c r="P737" i="3"/>
  <c r="Q737" i="3" s="1"/>
  <c r="R737" i="3" s="1"/>
  <c r="S737" i="3" s="1"/>
  <c r="AD737" i="3"/>
  <c r="Z737" i="3"/>
  <c r="AA737" i="3"/>
  <c r="U736" i="3" l="1"/>
  <c r="Y735" i="3"/>
  <c r="T737" i="3"/>
  <c r="AH737" i="3" s="1"/>
  <c r="D737" i="3" l="1"/>
  <c r="E737" i="3"/>
  <c r="H737" i="3" s="1"/>
  <c r="AG737" i="3"/>
  <c r="F737" i="3" l="1"/>
  <c r="G737" i="3"/>
  <c r="K737" i="3"/>
  <c r="AE737" i="3" s="1"/>
  <c r="V737" i="3" l="1"/>
  <c r="A738" i="3"/>
  <c r="B738" i="3" s="1"/>
  <c r="I737" i="3"/>
  <c r="J737" i="3"/>
  <c r="M737" i="3"/>
  <c r="N737" i="3" s="1"/>
  <c r="W737" i="3" l="1"/>
  <c r="L737" i="3"/>
  <c r="AA738" i="3"/>
  <c r="P738" i="3"/>
  <c r="Q738" i="3" s="1"/>
  <c r="R738" i="3" s="1"/>
  <c r="S738" i="3" s="1"/>
  <c r="AC738" i="3"/>
  <c r="Z738" i="3"/>
  <c r="AD738" i="3"/>
  <c r="U737" i="3" l="1"/>
  <c r="Y736" i="3"/>
  <c r="T738" i="3"/>
  <c r="E738" i="3" l="1"/>
  <c r="H738" i="3" s="1"/>
  <c r="K738" i="3" s="1"/>
  <c r="AE738" i="3" s="1"/>
  <c r="D738" i="3"/>
  <c r="AG738" i="3"/>
  <c r="AH738" i="3"/>
  <c r="V738" i="3" l="1"/>
  <c r="A739" i="3"/>
  <c r="B739" i="3" s="1"/>
  <c r="F738" i="3"/>
  <c r="G738" i="3"/>
  <c r="I738" i="3" l="1"/>
  <c r="W738" i="3" s="1"/>
  <c r="J738" i="3"/>
  <c r="M738" i="3"/>
  <c r="N738" i="3" s="1"/>
  <c r="P739" i="3"/>
  <c r="Q739" i="3" s="1"/>
  <c r="R739" i="3" s="1"/>
  <c r="S739" i="3" s="1"/>
  <c r="AC739" i="3"/>
  <c r="AA739" i="3"/>
  <c r="AD739" i="3"/>
  <c r="Z739" i="3"/>
  <c r="T739" i="3" l="1"/>
  <c r="L738" i="3"/>
  <c r="AH739" i="3" l="1"/>
  <c r="U738" i="3"/>
  <c r="E739" i="3" s="1"/>
  <c r="H739" i="3" s="1"/>
  <c r="AG739" i="3"/>
  <c r="Y737" i="3"/>
  <c r="D739" i="3" l="1"/>
  <c r="G739" i="3" s="1"/>
  <c r="K739" i="3"/>
  <c r="AE739" i="3" s="1"/>
  <c r="F739" i="3" l="1"/>
  <c r="I739" i="3"/>
  <c r="J739" i="3"/>
  <c r="M739" i="3"/>
  <c r="N739" i="3" s="1"/>
  <c r="V739" i="3"/>
  <c r="A740" i="3"/>
  <c r="B740" i="3" s="1"/>
  <c r="W739" i="3" l="1"/>
  <c r="L739" i="3"/>
  <c r="P740" i="3"/>
  <c r="Q740" i="3" s="1"/>
  <c r="R740" i="3" s="1"/>
  <c r="S740" i="3" s="1"/>
  <c r="Z740" i="3"/>
  <c r="AC740" i="3"/>
  <c r="AD740" i="3"/>
  <c r="AA740" i="3"/>
  <c r="U739" i="3" l="1"/>
  <c r="Y738" i="3"/>
  <c r="T740" i="3"/>
  <c r="E740" i="3" l="1"/>
  <c r="H740" i="3" s="1"/>
  <c r="K740" i="3" s="1"/>
  <c r="AE740" i="3" s="1"/>
  <c r="D740" i="3"/>
  <c r="G740" i="3" s="1"/>
  <c r="AH740" i="3"/>
  <c r="AG740" i="3"/>
  <c r="F740" i="3" l="1"/>
  <c r="I740" i="3"/>
  <c r="J740" i="3"/>
  <c r="M740" i="3"/>
  <c r="N740" i="3" s="1"/>
  <c r="V740" i="3"/>
  <c r="A741" i="3"/>
  <c r="B741" i="3" s="1"/>
  <c r="W740" i="3" l="1"/>
  <c r="L740" i="3"/>
  <c r="AA741" i="3"/>
  <c r="P741" i="3"/>
  <c r="Q741" i="3" s="1"/>
  <c r="R741" i="3" s="1"/>
  <c r="S741" i="3" s="1"/>
  <c r="AD741" i="3"/>
  <c r="Z741" i="3"/>
  <c r="AC741" i="3"/>
  <c r="T741" i="3" l="1"/>
  <c r="AG741" i="3" s="1"/>
  <c r="U740" i="3"/>
  <c r="Y739" i="3"/>
  <c r="E741" i="3" l="1"/>
  <c r="H741" i="3" s="1"/>
  <c r="D741" i="3"/>
  <c r="AH741" i="3"/>
  <c r="K741" i="3" l="1"/>
  <c r="AE741" i="3" s="1"/>
  <c r="F741" i="3"/>
  <c r="G741" i="3"/>
  <c r="V741" i="3" l="1"/>
  <c r="A742" i="3"/>
  <c r="B742" i="3" s="1"/>
  <c r="I741" i="3"/>
  <c r="J741" i="3"/>
  <c r="M741" i="3"/>
  <c r="N741" i="3" s="1"/>
  <c r="L741" i="3" l="1"/>
  <c r="W741" i="3"/>
  <c r="AC742" i="3"/>
  <c r="P742" i="3"/>
  <c r="Q742" i="3" s="1"/>
  <c r="R742" i="3" s="1"/>
  <c r="S742" i="3" s="1"/>
  <c r="AD742" i="3"/>
  <c r="Z742" i="3"/>
  <c r="AA742" i="3"/>
  <c r="U741" i="3" l="1"/>
  <c r="Y740" i="3"/>
  <c r="T742" i="3"/>
  <c r="AG742" i="3" s="1"/>
  <c r="E742" i="3" l="1"/>
  <c r="H742" i="3" s="1"/>
  <c r="K742" i="3" s="1"/>
  <c r="AE742" i="3" s="1"/>
  <c r="AH742" i="3"/>
  <c r="D742" i="3"/>
  <c r="F742" i="3" l="1"/>
  <c r="G742" i="3"/>
  <c r="V742" i="3"/>
  <c r="A743" i="3"/>
  <c r="B743" i="3" s="1"/>
  <c r="I742" i="3" l="1"/>
  <c r="W742" i="3" s="1"/>
  <c r="J742" i="3"/>
  <c r="M742" i="3"/>
  <c r="N742" i="3" s="1"/>
  <c r="Z743" i="3"/>
  <c r="AA743" i="3"/>
  <c r="P743" i="3"/>
  <c r="Q743" i="3" s="1"/>
  <c r="R743" i="3" s="1"/>
  <c r="S743" i="3" s="1"/>
  <c r="AC743" i="3"/>
  <c r="AD743" i="3"/>
  <c r="T743" i="3" l="1"/>
  <c r="L742" i="3"/>
  <c r="U742" i="3" l="1"/>
  <c r="E743" i="3" s="1"/>
  <c r="H743" i="3" s="1"/>
  <c r="AH743" i="3"/>
  <c r="AG743" i="3"/>
  <c r="Y741" i="3"/>
  <c r="D743" i="3" l="1"/>
  <c r="G743" i="3" s="1"/>
  <c r="K743" i="3"/>
  <c r="AE743" i="3" s="1"/>
  <c r="F743" i="3" l="1"/>
  <c r="I743" i="3"/>
  <c r="J743" i="3"/>
  <c r="M743" i="3"/>
  <c r="N743" i="3" s="1"/>
  <c r="V743" i="3"/>
  <c r="A744" i="3"/>
  <c r="B744" i="3" s="1"/>
  <c r="W743" i="3" l="1"/>
  <c r="L743" i="3"/>
  <c r="AA744" i="3"/>
  <c r="P744" i="3"/>
  <c r="Q744" i="3" s="1"/>
  <c r="R744" i="3" s="1"/>
  <c r="S744" i="3" s="1"/>
  <c r="AC744" i="3"/>
  <c r="Z744" i="3"/>
  <c r="U743" i="3" l="1"/>
  <c r="Y742" i="3"/>
  <c r="T744" i="3"/>
  <c r="AG744" i="3" s="1"/>
  <c r="E744" i="3" l="1"/>
  <c r="H744" i="3" s="1"/>
  <c r="K744" i="3" s="1"/>
  <c r="AE744" i="3" s="1"/>
  <c r="D744" i="3"/>
  <c r="AH744" i="3"/>
  <c r="F744" i="3" l="1"/>
  <c r="G744" i="3"/>
  <c r="I744" i="3" s="1"/>
  <c r="V744" i="3"/>
  <c r="A745" i="3"/>
  <c r="B745" i="3" s="1"/>
  <c r="J744" i="3" l="1"/>
  <c r="M744" i="3"/>
  <c r="N744" i="3" s="1"/>
  <c r="W744" i="3"/>
  <c r="P745" i="3"/>
  <c r="Q745" i="3" s="1"/>
  <c r="R745" i="3" s="1"/>
  <c r="S745" i="3" s="1"/>
  <c r="AA745" i="3"/>
  <c r="AC745" i="3"/>
  <c r="AD745" i="3"/>
  <c r="Z745" i="3"/>
  <c r="L744" i="3" l="1"/>
  <c r="U744" i="3" s="1"/>
  <c r="AD744" i="3"/>
  <c r="T745" i="3"/>
  <c r="Y743" i="3" l="1"/>
  <c r="AG745" i="3"/>
  <c r="E745" i="3"/>
  <c r="H745" i="3" s="1"/>
  <c r="K745" i="3" s="1"/>
  <c r="AE745" i="3" s="1"/>
  <c r="D745" i="3"/>
  <c r="AH745" i="3"/>
  <c r="F745" i="3" l="1"/>
  <c r="G745" i="3"/>
  <c r="M745" i="3" s="1"/>
  <c r="N745" i="3" s="1"/>
  <c r="V745" i="3"/>
  <c r="A746" i="3"/>
  <c r="B746" i="3" s="1"/>
  <c r="I745" i="3" l="1"/>
  <c r="W745" i="3" s="1"/>
  <c r="J745" i="3"/>
  <c r="L745" i="3" s="1"/>
  <c r="Z746" i="3"/>
  <c r="AD746" i="3"/>
  <c r="P746" i="3"/>
  <c r="Q746" i="3" s="1"/>
  <c r="R746" i="3" s="1"/>
  <c r="S746" i="3" s="1"/>
  <c r="AA746" i="3"/>
  <c r="AC746" i="3"/>
  <c r="U745" i="3" l="1"/>
  <c r="Y744" i="3"/>
  <c r="T746" i="3"/>
  <c r="D746" i="3" l="1"/>
  <c r="G746" i="3" s="1"/>
  <c r="AG746" i="3"/>
  <c r="E746" i="3"/>
  <c r="H746" i="3" s="1"/>
  <c r="AH746" i="3"/>
  <c r="F746" i="3" l="1"/>
  <c r="I746" i="3"/>
  <c r="J746" i="3"/>
  <c r="M746" i="3"/>
  <c r="N746" i="3" s="1"/>
  <c r="K746" i="3"/>
  <c r="AE746" i="3" s="1"/>
  <c r="V746" i="3" l="1"/>
  <c r="W746" i="3" s="1"/>
  <c r="A747" i="3"/>
  <c r="B747" i="3" s="1"/>
  <c r="L746" i="3"/>
  <c r="U746" i="3" l="1"/>
  <c r="Y745" i="3"/>
  <c r="AA747" i="3"/>
  <c r="AD747" i="3"/>
  <c r="Z747" i="3"/>
  <c r="AC747" i="3"/>
  <c r="P747" i="3"/>
  <c r="Q747" i="3" s="1"/>
  <c r="R747" i="3" s="1"/>
  <c r="S747" i="3" s="1"/>
  <c r="T747" i="3" l="1"/>
  <c r="D747" i="3" s="1"/>
  <c r="AG747" i="3" l="1"/>
  <c r="E747" i="3"/>
  <c r="H747" i="3" s="1"/>
  <c r="K747" i="3" s="1"/>
  <c r="AE747" i="3" s="1"/>
  <c r="AH747" i="3"/>
  <c r="G747" i="3"/>
  <c r="F747" i="3" l="1"/>
  <c r="I747" i="3"/>
  <c r="J747" i="3"/>
  <c r="M747" i="3"/>
  <c r="N747" i="3" s="1"/>
  <c r="V747" i="3"/>
  <c r="A748" i="3"/>
  <c r="B748" i="3" s="1"/>
  <c r="W747" i="3" l="1"/>
  <c r="L747" i="3"/>
  <c r="AC748" i="3"/>
  <c r="P748" i="3"/>
  <c r="Q748" i="3" s="1"/>
  <c r="R748" i="3" s="1"/>
  <c r="S748" i="3" s="1"/>
  <c r="AD748" i="3"/>
  <c r="Z748" i="3"/>
  <c r="AA748" i="3"/>
  <c r="U747" i="3" l="1"/>
  <c r="Y746" i="3"/>
  <c r="T748" i="3"/>
  <c r="E748" i="3" l="1"/>
  <c r="H748" i="3" s="1"/>
  <c r="K748" i="3" s="1"/>
  <c r="AE748" i="3" s="1"/>
  <c r="D748" i="3"/>
  <c r="AH748" i="3"/>
  <c r="AG748" i="3"/>
  <c r="V748" i="3" l="1"/>
  <c r="A749" i="3"/>
  <c r="B749" i="3" s="1"/>
  <c r="F748" i="3"/>
  <c r="G748" i="3"/>
  <c r="I748" i="3" l="1"/>
  <c r="W748" i="3" s="1"/>
  <c r="J748" i="3"/>
  <c r="M748" i="3"/>
  <c r="N748" i="3" s="1"/>
  <c r="AA749" i="3"/>
  <c r="Z749" i="3"/>
  <c r="P749" i="3"/>
  <c r="Q749" i="3" s="1"/>
  <c r="R749" i="3" s="1"/>
  <c r="S749" i="3" s="1"/>
  <c r="AC749" i="3"/>
  <c r="AD749" i="3"/>
  <c r="T749" i="3" l="1"/>
  <c r="L748" i="3"/>
  <c r="U748" i="3" l="1"/>
  <c r="E749" i="3" s="1"/>
  <c r="H749" i="3" s="1"/>
  <c r="AG749" i="3"/>
  <c r="AH749" i="3"/>
  <c r="Y747" i="3"/>
  <c r="K749" i="3" l="1"/>
  <c r="AE749" i="3" s="1"/>
  <c r="D749" i="3"/>
  <c r="V749" i="3" l="1"/>
  <c r="A750" i="3"/>
  <c r="B750" i="3" s="1"/>
  <c r="F749" i="3"/>
  <c r="G749" i="3"/>
  <c r="I749" i="3" l="1"/>
  <c r="W749" i="3" s="1"/>
  <c r="J749" i="3"/>
  <c r="M749" i="3"/>
  <c r="N749" i="3" s="1"/>
  <c r="AA750" i="3"/>
  <c r="AC750" i="3"/>
  <c r="Z750" i="3"/>
  <c r="AD750" i="3"/>
  <c r="P750" i="3"/>
  <c r="Q750" i="3" s="1"/>
  <c r="R750" i="3" s="1"/>
  <c r="S750" i="3" s="1"/>
  <c r="T750" i="3" l="1"/>
  <c r="L749" i="3"/>
  <c r="AH750" i="3" l="1"/>
  <c r="AG750" i="3"/>
  <c r="U749" i="3"/>
  <c r="D750" i="3" s="1"/>
  <c r="Y748" i="3"/>
  <c r="G750" i="3" l="1"/>
  <c r="E750" i="3"/>
  <c r="H750" i="3" s="1"/>
  <c r="F750" i="3" l="1"/>
  <c r="I750" i="3"/>
  <c r="J750" i="3"/>
  <c r="M750" i="3"/>
  <c r="N750" i="3" s="1"/>
  <c r="K750" i="3"/>
  <c r="AE750" i="3" s="1"/>
  <c r="V750" i="3" l="1"/>
  <c r="W750" i="3" s="1"/>
  <c r="A751" i="3"/>
  <c r="B751" i="3" s="1"/>
  <c r="L750" i="3"/>
  <c r="U750" i="3" l="1"/>
  <c r="Y749" i="3"/>
  <c r="P751" i="3"/>
  <c r="Q751" i="3" s="1"/>
  <c r="R751" i="3" s="1"/>
  <c r="S751" i="3" s="1"/>
  <c r="Z751" i="3"/>
  <c r="AA751" i="3"/>
  <c r="AC751" i="3"/>
  <c r="AD751" i="3"/>
  <c r="T751" i="3" l="1"/>
  <c r="AH751" i="3" s="1"/>
  <c r="E751" i="3" l="1"/>
  <c r="H751" i="3" s="1"/>
  <c r="K751" i="3" s="1"/>
  <c r="AE751" i="3" s="1"/>
  <c r="AG751" i="3"/>
  <c r="D751" i="3"/>
  <c r="F751" i="3" l="1"/>
  <c r="G751" i="3"/>
  <c r="V751" i="3"/>
  <c r="A752" i="3"/>
  <c r="B752" i="3" s="1"/>
  <c r="AA752" i="3" l="1"/>
  <c r="AD752" i="3"/>
  <c r="Z752" i="3"/>
  <c r="AC752" i="3"/>
  <c r="P752" i="3"/>
  <c r="Q752" i="3" s="1"/>
  <c r="R752" i="3" s="1"/>
  <c r="S752" i="3" s="1"/>
  <c r="I751" i="3"/>
  <c r="W751" i="3" s="1"/>
  <c r="J751" i="3"/>
  <c r="M751" i="3"/>
  <c r="N751" i="3" s="1"/>
  <c r="L751" i="3" l="1"/>
  <c r="T752" i="3"/>
  <c r="U751" i="3" l="1"/>
  <c r="E752" i="3" s="1"/>
  <c r="H752" i="3" s="1"/>
  <c r="AG752" i="3"/>
  <c r="AH752" i="3"/>
  <c r="Y750" i="3"/>
  <c r="K752" i="3" l="1"/>
  <c r="AE752" i="3" s="1"/>
  <c r="D752" i="3"/>
  <c r="V752" i="3" l="1"/>
  <c r="A753" i="3"/>
  <c r="B753" i="3" s="1"/>
  <c r="F752" i="3"/>
  <c r="G752" i="3"/>
  <c r="I752" i="3" l="1"/>
  <c r="W752" i="3" s="1"/>
  <c r="J752" i="3"/>
  <c r="M752" i="3"/>
  <c r="N752" i="3" s="1"/>
  <c r="AD753" i="3"/>
  <c r="AA753" i="3"/>
  <c r="Z753" i="3"/>
  <c r="P753" i="3"/>
  <c r="Q753" i="3" s="1"/>
  <c r="R753" i="3" s="1"/>
  <c r="S753" i="3" s="1"/>
  <c r="AC753" i="3"/>
  <c r="T753" i="3" l="1"/>
  <c r="L752" i="3"/>
  <c r="AG753" i="3" l="1"/>
  <c r="U752" i="3"/>
  <c r="E753" i="3" s="1"/>
  <c r="H753" i="3" s="1"/>
  <c r="AH753" i="3"/>
  <c r="Y751" i="3"/>
  <c r="K753" i="3" l="1"/>
  <c r="AE753" i="3" s="1"/>
  <c r="D753" i="3"/>
  <c r="V753" i="3" l="1"/>
  <c r="A754" i="3"/>
  <c r="B754" i="3" s="1"/>
  <c r="F753" i="3"/>
  <c r="G753" i="3"/>
  <c r="I753" i="3" l="1"/>
  <c r="W753" i="3" s="1"/>
  <c r="J753" i="3"/>
  <c r="M753" i="3"/>
  <c r="N753" i="3" s="1"/>
  <c r="AC754" i="3"/>
  <c r="P754" i="3"/>
  <c r="Q754" i="3" s="1"/>
  <c r="R754" i="3" s="1"/>
  <c r="S754" i="3" s="1"/>
  <c r="Z754" i="3"/>
  <c r="AA754" i="3"/>
  <c r="T754" i="3" l="1"/>
  <c r="L753" i="3"/>
  <c r="AG754" i="3" l="1"/>
  <c r="AH754" i="3"/>
  <c r="U753" i="3"/>
  <c r="E754" i="3" s="1"/>
  <c r="H754" i="3" s="1"/>
  <c r="Y752" i="3"/>
  <c r="D754" i="3" l="1"/>
  <c r="G754" i="3" s="1"/>
  <c r="K754" i="3"/>
  <c r="AE754" i="3" s="1"/>
  <c r="F754" i="3" l="1"/>
  <c r="I754" i="3"/>
  <c r="J754" i="3"/>
  <c r="AD754" i="3" s="1"/>
  <c r="M754" i="3"/>
  <c r="N754" i="3" s="1"/>
  <c r="V754" i="3"/>
  <c r="A755" i="3"/>
  <c r="B755" i="3" s="1"/>
  <c r="W754" i="3" l="1"/>
  <c r="L754" i="3"/>
  <c r="AD755" i="3"/>
  <c r="AC755" i="3"/>
  <c r="AA755" i="3"/>
  <c r="P755" i="3"/>
  <c r="Q755" i="3" s="1"/>
  <c r="R755" i="3" s="1"/>
  <c r="S755" i="3" s="1"/>
  <c r="Z755" i="3"/>
  <c r="T755" i="3" l="1"/>
  <c r="U754" i="3"/>
  <c r="Y753" i="3"/>
  <c r="E755" i="3" l="1"/>
  <c r="H755" i="3" s="1"/>
  <c r="K755" i="3" s="1"/>
  <c r="AE755" i="3" s="1"/>
  <c r="AH755" i="3"/>
  <c r="AG755" i="3"/>
  <c r="D755" i="3"/>
  <c r="F755" i="3" l="1"/>
  <c r="G755" i="3"/>
  <c r="V755" i="3"/>
  <c r="A756" i="3"/>
  <c r="B756" i="3" s="1"/>
  <c r="P756" i="3" l="1"/>
  <c r="Q756" i="3" s="1"/>
  <c r="R756" i="3" s="1"/>
  <c r="S756" i="3" s="1"/>
  <c r="Z756" i="3"/>
  <c r="AA756" i="3"/>
  <c r="AC756" i="3"/>
  <c r="AD756" i="3"/>
  <c r="I755" i="3"/>
  <c r="W755" i="3" s="1"/>
  <c r="J755" i="3"/>
  <c r="M755" i="3"/>
  <c r="N755" i="3" s="1"/>
  <c r="T756" i="3" l="1"/>
  <c r="L755" i="3"/>
  <c r="AG756" i="3" l="1"/>
  <c r="U755" i="3"/>
  <c r="E756" i="3" s="1"/>
  <c r="H756" i="3" s="1"/>
  <c r="AH756" i="3"/>
  <c r="Y754" i="3"/>
  <c r="D756" i="3" l="1"/>
  <c r="F756" i="3" s="1"/>
  <c r="K756" i="3"/>
  <c r="AE756" i="3" s="1"/>
  <c r="G756" i="3" l="1"/>
  <c r="M756" i="3" s="1"/>
  <c r="N756" i="3" s="1"/>
  <c r="V756" i="3"/>
  <c r="A757" i="3"/>
  <c r="B757" i="3" s="1"/>
  <c r="I756" i="3" l="1"/>
  <c r="W756" i="3" s="1"/>
  <c r="J756" i="3"/>
  <c r="L756" i="3" s="1"/>
  <c r="AD757" i="3"/>
  <c r="AC757" i="3"/>
  <c r="P757" i="3"/>
  <c r="Q757" i="3" s="1"/>
  <c r="R757" i="3" s="1"/>
  <c r="S757" i="3" s="1"/>
  <c r="Z757" i="3"/>
  <c r="AA757" i="3"/>
  <c r="T757" i="3" l="1"/>
  <c r="U756" i="3"/>
  <c r="Y755" i="3"/>
  <c r="E757" i="3" l="1"/>
  <c r="H757" i="3" s="1"/>
  <c r="K757" i="3" s="1"/>
  <c r="AE757" i="3" s="1"/>
  <c r="AH757" i="3"/>
  <c r="D757" i="3"/>
  <c r="AG757" i="3"/>
  <c r="V757" i="3" l="1"/>
  <c r="A758" i="3"/>
  <c r="B758" i="3" s="1"/>
  <c r="F757" i="3"/>
  <c r="G757" i="3"/>
  <c r="I757" i="3" l="1"/>
  <c r="W757" i="3" s="1"/>
  <c r="J757" i="3"/>
  <c r="M757" i="3"/>
  <c r="N757" i="3" s="1"/>
  <c r="AA758" i="3"/>
  <c r="Z758" i="3"/>
  <c r="AD758" i="3"/>
  <c r="AC758" i="3"/>
  <c r="P758" i="3"/>
  <c r="Q758" i="3" s="1"/>
  <c r="R758" i="3" s="1"/>
  <c r="S758" i="3" s="1"/>
  <c r="T758" i="3" l="1"/>
  <c r="L757" i="3"/>
  <c r="AG758" i="3" l="1"/>
  <c r="U757" i="3"/>
  <c r="D758" i="3" s="1"/>
  <c r="AH758" i="3"/>
  <c r="Y756" i="3"/>
  <c r="E758" i="3" l="1"/>
  <c r="H758" i="3" s="1"/>
  <c r="K758" i="3" s="1"/>
  <c r="AE758" i="3" s="1"/>
  <c r="G758" i="3"/>
  <c r="F758" i="3" l="1"/>
  <c r="V758" i="3"/>
  <c r="A759" i="3"/>
  <c r="B759" i="3" s="1"/>
  <c r="I758" i="3"/>
  <c r="J758" i="3"/>
  <c r="M758" i="3"/>
  <c r="N758" i="3" s="1"/>
  <c r="L758" i="3" l="1"/>
  <c r="W758" i="3"/>
  <c r="AD759" i="3"/>
  <c r="P759" i="3"/>
  <c r="Q759" i="3" s="1"/>
  <c r="R759" i="3" s="1"/>
  <c r="S759" i="3" s="1"/>
  <c r="Z759" i="3"/>
  <c r="AA759" i="3"/>
  <c r="AC759" i="3"/>
  <c r="U758" i="3" l="1"/>
  <c r="Y757" i="3"/>
  <c r="T759" i="3"/>
  <c r="D759" i="3" l="1"/>
  <c r="G759" i="3" s="1"/>
  <c r="AG759" i="3"/>
  <c r="E759" i="3"/>
  <c r="H759" i="3" s="1"/>
  <c r="AH759" i="3"/>
  <c r="F759" i="3" l="1"/>
  <c r="I759" i="3"/>
  <c r="J759" i="3"/>
  <c r="M759" i="3"/>
  <c r="N759" i="3" s="1"/>
  <c r="K759" i="3"/>
  <c r="AE759" i="3" s="1"/>
  <c r="V759" i="3" l="1"/>
  <c r="W759" i="3" s="1"/>
  <c r="A760" i="3"/>
  <c r="B760" i="3" s="1"/>
  <c r="L759" i="3"/>
  <c r="U759" i="3" l="1"/>
  <c r="Y758" i="3"/>
  <c r="AA760" i="3"/>
  <c r="AC760" i="3"/>
  <c r="Z760" i="3"/>
  <c r="P760" i="3"/>
  <c r="Q760" i="3" s="1"/>
  <c r="R760" i="3" s="1"/>
  <c r="S760" i="3" s="1"/>
  <c r="AD760" i="3"/>
  <c r="T760" i="3" l="1"/>
  <c r="E760" i="3" s="1"/>
  <c r="H760" i="3" s="1"/>
  <c r="AH760" i="3" l="1"/>
  <c r="AG760" i="3"/>
  <c r="D760" i="3"/>
  <c r="G760" i="3" s="1"/>
  <c r="K760" i="3"/>
  <c r="AE760" i="3" s="1"/>
  <c r="F760" i="3" l="1"/>
  <c r="I760" i="3"/>
  <c r="J760" i="3"/>
  <c r="M760" i="3"/>
  <c r="N760" i="3" s="1"/>
  <c r="V760" i="3"/>
  <c r="A761" i="3"/>
  <c r="B761" i="3" s="1"/>
  <c r="W760" i="3" l="1"/>
  <c r="L760" i="3"/>
  <c r="P761" i="3"/>
  <c r="Q761" i="3" s="1"/>
  <c r="R761" i="3" s="1"/>
  <c r="S761" i="3" s="1"/>
  <c r="Z761" i="3"/>
  <c r="AA761" i="3"/>
  <c r="AD761" i="3"/>
  <c r="AC761" i="3"/>
  <c r="T761" i="3" l="1"/>
  <c r="U760" i="3"/>
  <c r="Y759" i="3"/>
  <c r="D761" i="3" l="1"/>
  <c r="G761" i="3" s="1"/>
  <c r="AG761" i="3"/>
  <c r="AH761" i="3"/>
  <c r="E761" i="3"/>
  <c r="H761" i="3" s="1"/>
  <c r="F761" i="3" l="1"/>
  <c r="I761" i="3"/>
  <c r="J761" i="3"/>
  <c r="M761" i="3"/>
  <c r="N761" i="3" s="1"/>
  <c r="K761" i="3"/>
  <c r="AE761" i="3" s="1"/>
  <c r="V761" i="3" l="1"/>
  <c r="W761" i="3" s="1"/>
  <c r="A762" i="3"/>
  <c r="B762" i="3" s="1"/>
  <c r="L761" i="3"/>
  <c r="U761" i="3" l="1"/>
  <c r="Y760" i="3"/>
  <c r="AA762" i="3"/>
  <c r="Z762" i="3"/>
  <c r="AC762" i="3"/>
  <c r="P762" i="3"/>
  <c r="Q762" i="3" s="1"/>
  <c r="R762" i="3" s="1"/>
  <c r="S762" i="3" s="1"/>
  <c r="AD762" i="3"/>
  <c r="T762" i="3" l="1"/>
  <c r="D762" i="3" s="1"/>
  <c r="E762" i="3" l="1"/>
  <c r="H762" i="3" s="1"/>
  <c r="K762" i="3" s="1"/>
  <c r="AE762" i="3" s="1"/>
  <c r="AH762" i="3"/>
  <c r="AG762" i="3"/>
  <c r="G762" i="3"/>
  <c r="F762" i="3" l="1"/>
  <c r="I762" i="3"/>
  <c r="J762" i="3"/>
  <c r="M762" i="3"/>
  <c r="N762" i="3" s="1"/>
  <c r="V762" i="3"/>
  <c r="A763" i="3"/>
  <c r="B763" i="3" s="1"/>
  <c r="W762" i="3" l="1"/>
  <c r="L762" i="3"/>
  <c r="AC763" i="3"/>
  <c r="Z763" i="3"/>
  <c r="AA763" i="3"/>
  <c r="P763" i="3"/>
  <c r="Q763" i="3" s="1"/>
  <c r="R763" i="3" s="1"/>
  <c r="S763" i="3" s="1"/>
  <c r="AD763" i="3"/>
  <c r="U762" i="3" l="1"/>
  <c r="Y761" i="3"/>
  <c r="T763" i="3"/>
  <c r="D763" i="3" l="1"/>
  <c r="G763" i="3" s="1"/>
  <c r="AG763" i="3"/>
  <c r="AH763" i="3"/>
  <c r="E763" i="3"/>
  <c r="H763" i="3" s="1"/>
  <c r="K763" i="3" s="1"/>
  <c r="AE763" i="3" s="1"/>
  <c r="F763" i="3" l="1"/>
  <c r="I763" i="3"/>
  <c r="J763" i="3"/>
  <c r="M763" i="3"/>
  <c r="N763" i="3" s="1"/>
  <c r="V763" i="3"/>
  <c r="A764" i="3"/>
  <c r="B764" i="3" s="1"/>
  <c r="W763" i="3" l="1"/>
  <c r="L763" i="3"/>
  <c r="Z764" i="3"/>
  <c r="P764" i="3"/>
  <c r="Q764" i="3" s="1"/>
  <c r="R764" i="3" s="1"/>
  <c r="S764" i="3" s="1"/>
  <c r="AC764" i="3"/>
  <c r="AA764" i="3"/>
  <c r="U763" i="3" l="1"/>
  <c r="Y762" i="3"/>
  <c r="T764" i="3"/>
  <c r="E764" i="3" l="1"/>
  <c r="H764" i="3" s="1"/>
  <c r="K764" i="3" s="1"/>
  <c r="AE764" i="3" s="1"/>
  <c r="AG764" i="3"/>
  <c r="D764" i="3"/>
  <c r="AH764" i="3"/>
  <c r="F764" i="3" l="1"/>
  <c r="G764" i="3"/>
  <c r="V764" i="3"/>
  <c r="A765" i="3"/>
  <c r="B765" i="3" s="1"/>
  <c r="P765" i="3" l="1"/>
  <c r="Q765" i="3" s="1"/>
  <c r="R765" i="3" s="1"/>
  <c r="S765" i="3" s="1"/>
  <c r="Z765" i="3"/>
  <c r="AA765" i="3"/>
  <c r="AC765" i="3"/>
  <c r="AD765" i="3"/>
  <c r="I764" i="3"/>
  <c r="W764" i="3" s="1"/>
  <c r="J764" i="3"/>
  <c r="AD764" i="3" s="1"/>
  <c r="M764" i="3"/>
  <c r="N764" i="3" s="1"/>
  <c r="T765" i="3" l="1"/>
  <c r="L764" i="3"/>
  <c r="AG765" i="3" l="1"/>
  <c r="AH765" i="3"/>
  <c r="U764" i="3"/>
  <c r="D765" i="3" s="1"/>
  <c r="Y763" i="3"/>
  <c r="E765" i="3" l="1"/>
  <c r="H765" i="3" s="1"/>
  <c r="K765" i="3" s="1"/>
  <c r="AE765" i="3" s="1"/>
  <c r="G765" i="3"/>
  <c r="F765" i="3" l="1"/>
  <c r="I765" i="3"/>
  <c r="J765" i="3"/>
  <c r="M765" i="3"/>
  <c r="N765" i="3" s="1"/>
  <c r="V765" i="3"/>
  <c r="A766" i="3"/>
  <c r="B766" i="3" s="1"/>
  <c r="W765" i="3" l="1"/>
  <c r="L765" i="3"/>
  <c r="AD766" i="3"/>
  <c r="P766" i="3"/>
  <c r="Q766" i="3" s="1"/>
  <c r="R766" i="3" s="1"/>
  <c r="S766" i="3" s="1"/>
  <c r="AA766" i="3"/>
  <c r="Z766" i="3"/>
  <c r="AC766" i="3"/>
  <c r="U765" i="3" l="1"/>
  <c r="Y764" i="3"/>
  <c r="T766" i="3"/>
  <c r="E766" i="3" l="1"/>
  <c r="H766" i="3" s="1"/>
  <c r="K766" i="3" s="1"/>
  <c r="AE766" i="3" s="1"/>
  <c r="D766" i="3"/>
  <c r="AG766" i="3"/>
  <c r="AH766" i="3"/>
  <c r="V766" i="3" l="1"/>
  <c r="A767" i="3"/>
  <c r="B767" i="3" s="1"/>
  <c r="F766" i="3"/>
  <c r="G766" i="3"/>
  <c r="I766" i="3" l="1"/>
  <c r="W766" i="3" s="1"/>
  <c r="J766" i="3"/>
  <c r="M766" i="3"/>
  <c r="N766" i="3" s="1"/>
  <c r="P767" i="3"/>
  <c r="Q767" i="3" s="1"/>
  <c r="R767" i="3" s="1"/>
  <c r="S767" i="3" s="1"/>
  <c r="AC767" i="3"/>
  <c r="AD767" i="3"/>
  <c r="AA767" i="3"/>
  <c r="Z767" i="3"/>
  <c r="T767" i="3" l="1"/>
  <c r="L766" i="3"/>
  <c r="AH767" i="3" l="1"/>
  <c r="AG767" i="3"/>
  <c r="U766" i="3"/>
  <c r="D767" i="3" s="1"/>
  <c r="Y765" i="3"/>
  <c r="E767" i="3" l="1"/>
  <c r="H767" i="3" s="1"/>
  <c r="K767" i="3" s="1"/>
  <c r="AE767" i="3" s="1"/>
  <c r="G767" i="3"/>
  <c r="F767" i="3" l="1"/>
  <c r="I767" i="3"/>
  <c r="J767" i="3"/>
  <c r="M767" i="3"/>
  <c r="N767" i="3" s="1"/>
  <c r="V767" i="3"/>
  <c r="A768" i="3"/>
  <c r="B768" i="3" s="1"/>
  <c r="W767" i="3" l="1"/>
  <c r="L767" i="3"/>
  <c r="AC768" i="3"/>
  <c r="AA768" i="3"/>
  <c r="AD768" i="3"/>
  <c r="P768" i="3"/>
  <c r="Q768" i="3" s="1"/>
  <c r="R768" i="3" s="1"/>
  <c r="S768" i="3" s="1"/>
  <c r="Z768" i="3"/>
  <c r="T768" i="3" l="1"/>
  <c r="AG768" i="3" s="1"/>
  <c r="U767" i="3"/>
  <c r="Y766" i="3"/>
  <c r="D768" i="3" l="1"/>
  <c r="G768" i="3" s="1"/>
  <c r="AH768" i="3"/>
  <c r="E768" i="3"/>
  <c r="H768" i="3" s="1"/>
  <c r="K768" i="3" l="1"/>
  <c r="AE768" i="3" s="1"/>
  <c r="I768" i="3"/>
  <c r="J768" i="3"/>
  <c r="M768" i="3"/>
  <c r="N768" i="3" s="1"/>
  <c r="F768" i="3"/>
  <c r="L768" i="3" l="1"/>
  <c r="V768" i="3"/>
  <c r="W768" i="3" s="1"/>
  <c r="A769" i="3"/>
  <c r="B769" i="3" s="1"/>
  <c r="AD769" i="3" l="1"/>
  <c r="AC769" i="3"/>
  <c r="Z769" i="3"/>
  <c r="P769" i="3"/>
  <c r="Q769" i="3" s="1"/>
  <c r="R769" i="3" s="1"/>
  <c r="S769" i="3" s="1"/>
  <c r="AA769" i="3"/>
  <c r="U768" i="3"/>
  <c r="Y767" i="3"/>
  <c r="T769" i="3" l="1"/>
  <c r="AG769" i="3" l="1"/>
  <c r="D769" i="3"/>
  <c r="AH769" i="3"/>
  <c r="E769" i="3"/>
  <c r="H769" i="3" s="1"/>
  <c r="F769" i="3" l="1"/>
  <c r="G769" i="3"/>
  <c r="K769" i="3"/>
  <c r="AE769" i="3" s="1"/>
  <c r="V769" i="3" l="1"/>
  <c r="A770" i="3"/>
  <c r="B770" i="3" s="1"/>
  <c r="I769" i="3"/>
  <c r="J769" i="3"/>
  <c r="M769" i="3"/>
  <c r="N769" i="3" s="1"/>
  <c r="W769" i="3" l="1"/>
  <c r="L769" i="3"/>
  <c r="AC770" i="3"/>
  <c r="P770" i="3"/>
  <c r="Q770" i="3" s="1"/>
  <c r="R770" i="3" s="1"/>
  <c r="S770" i="3" s="1"/>
  <c r="AD770" i="3"/>
  <c r="Z770" i="3"/>
  <c r="AA770" i="3"/>
  <c r="U769" i="3" l="1"/>
  <c r="Y768" i="3"/>
  <c r="T770" i="3"/>
  <c r="AG770" i="3" s="1"/>
  <c r="E770" i="3" l="1"/>
  <c r="H770" i="3" s="1"/>
  <c r="K770" i="3" s="1"/>
  <c r="AE770" i="3" s="1"/>
  <c r="D770" i="3"/>
  <c r="AH770" i="3"/>
  <c r="F770" i="3" l="1"/>
  <c r="G770" i="3"/>
  <c r="M770" i="3" s="1"/>
  <c r="N770" i="3" s="1"/>
  <c r="V770" i="3"/>
  <c r="A771" i="3"/>
  <c r="B771" i="3" s="1"/>
  <c r="I770" i="3" l="1"/>
  <c r="W770" i="3" s="1"/>
  <c r="J770" i="3"/>
  <c r="L770" i="3" s="1"/>
  <c r="AA771" i="3"/>
  <c r="AC771" i="3"/>
  <c r="P771" i="3"/>
  <c r="Q771" i="3" s="1"/>
  <c r="R771" i="3" s="1"/>
  <c r="S771" i="3" s="1"/>
  <c r="Z771" i="3"/>
  <c r="AD771" i="3"/>
  <c r="U770" i="3" l="1"/>
  <c r="Y769" i="3"/>
  <c r="T771" i="3"/>
  <c r="AH771" i="3" s="1"/>
  <c r="E771" i="3" l="1"/>
  <c r="H771" i="3" s="1"/>
  <c r="AG771" i="3"/>
  <c r="D771" i="3"/>
  <c r="K771" i="3" l="1"/>
  <c r="AE771" i="3" s="1"/>
  <c r="F771" i="3"/>
  <c r="G771" i="3"/>
  <c r="V771" i="3" l="1"/>
  <c r="A772" i="3"/>
  <c r="B772" i="3" s="1"/>
  <c r="I771" i="3"/>
  <c r="J771" i="3"/>
  <c r="M771" i="3"/>
  <c r="N771" i="3" s="1"/>
  <c r="L771" i="3" l="1"/>
  <c r="W771" i="3"/>
  <c r="AD772" i="3"/>
  <c r="AA772" i="3"/>
  <c r="Z772" i="3"/>
  <c r="AC772" i="3"/>
  <c r="P772" i="3"/>
  <c r="Q772" i="3" s="1"/>
  <c r="R772" i="3" s="1"/>
  <c r="S772" i="3" s="1"/>
  <c r="U771" i="3" l="1"/>
  <c r="Y770" i="3"/>
  <c r="T772" i="3"/>
  <c r="E772" i="3" l="1"/>
  <c r="H772" i="3" s="1"/>
  <c r="K772" i="3" s="1"/>
  <c r="AE772" i="3" s="1"/>
  <c r="D772" i="3"/>
  <c r="G772" i="3" s="1"/>
  <c r="AG772" i="3"/>
  <c r="AH772" i="3"/>
  <c r="F772" i="3" l="1"/>
  <c r="V772" i="3"/>
  <c r="A773" i="3"/>
  <c r="B773" i="3" s="1"/>
  <c r="I772" i="3"/>
  <c r="J772" i="3"/>
  <c r="M772" i="3"/>
  <c r="N772" i="3" s="1"/>
  <c r="W772" i="3" l="1"/>
  <c r="L772" i="3"/>
  <c r="AA773" i="3"/>
  <c r="P773" i="3"/>
  <c r="Q773" i="3" s="1"/>
  <c r="R773" i="3" s="1"/>
  <c r="S773" i="3" s="1"/>
  <c r="Z773" i="3"/>
  <c r="AD773" i="3"/>
  <c r="AC773" i="3"/>
  <c r="U772" i="3" l="1"/>
  <c r="Y771" i="3"/>
  <c r="T773" i="3"/>
  <c r="AG773" i="3" s="1"/>
  <c r="D773" i="3" l="1"/>
  <c r="E773" i="3"/>
  <c r="H773" i="3" s="1"/>
  <c r="K773" i="3" s="1"/>
  <c r="AE773" i="3" s="1"/>
  <c r="AH773" i="3"/>
  <c r="F773" i="3" l="1"/>
  <c r="G773" i="3"/>
  <c r="M773" i="3" s="1"/>
  <c r="N773" i="3" s="1"/>
  <c r="V773" i="3"/>
  <c r="A774" i="3"/>
  <c r="B774" i="3" s="1"/>
  <c r="I773" i="3" l="1"/>
  <c r="W773" i="3" s="1"/>
  <c r="J773" i="3"/>
  <c r="L773" i="3" s="1"/>
  <c r="AC774" i="3"/>
  <c r="P774" i="3"/>
  <c r="Q774" i="3" s="1"/>
  <c r="R774" i="3" s="1"/>
  <c r="S774" i="3" s="1"/>
  <c r="AA774" i="3"/>
  <c r="Z774" i="3"/>
  <c r="U773" i="3" l="1"/>
  <c r="Y772" i="3"/>
  <c r="T774" i="3"/>
  <c r="AG774" i="3" s="1"/>
  <c r="E774" i="3" l="1"/>
  <c r="H774" i="3" s="1"/>
  <c r="K774" i="3" s="1"/>
  <c r="AE774" i="3" s="1"/>
  <c r="AH774" i="3"/>
  <c r="D774" i="3"/>
  <c r="F774" i="3" l="1"/>
  <c r="G774" i="3"/>
  <c r="M774" i="3" s="1"/>
  <c r="N774" i="3" s="1"/>
  <c r="V774" i="3"/>
  <c r="A775" i="3"/>
  <c r="B775" i="3" s="1"/>
  <c r="I774" i="3" l="1"/>
  <c r="W774" i="3" s="1"/>
  <c r="J774" i="3"/>
  <c r="P775" i="3"/>
  <c r="Q775" i="3" s="1"/>
  <c r="R775" i="3" s="1"/>
  <c r="S775" i="3" s="1"/>
  <c r="Z775" i="3"/>
  <c r="AD775" i="3"/>
  <c r="AA775" i="3"/>
  <c r="AC775" i="3"/>
  <c r="L774" i="3" l="1"/>
  <c r="Y773" i="3" s="1"/>
  <c r="AD774" i="3"/>
  <c r="T775" i="3"/>
  <c r="U774" i="3" l="1"/>
  <c r="D775" i="3" s="1"/>
  <c r="AG775" i="3"/>
  <c r="AH775" i="3"/>
  <c r="E775" i="3" l="1"/>
  <c r="H775" i="3" s="1"/>
  <c r="K775" i="3" s="1"/>
  <c r="AE775" i="3" s="1"/>
  <c r="G775" i="3"/>
  <c r="M775" i="3" l="1"/>
  <c r="N775" i="3" s="1"/>
  <c r="A776" i="3"/>
  <c r="B776" i="3" s="1"/>
  <c r="AD776" i="3" s="1"/>
  <c r="V775" i="3"/>
  <c r="F775" i="3"/>
  <c r="I775" i="3"/>
  <c r="J775" i="3"/>
  <c r="L775" i="3" s="1"/>
  <c r="W775" i="3" l="1"/>
  <c r="P776" i="3"/>
  <c r="Q776" i="3" s="1"/>
  <c r="R776" i="3" s="1"/>
  <c r="S776" i="3" s="1"/>
  <c r="T776" i="3" s="1"/>
  <c r="AA776" i="3"/>
  <c r="AC776" i="3"/>
  <c r="Z776" i="3"/>
  <c r="U775" i="3"/>
  <c r="Y774" i="3"/>
  <c r="AG776" i="3" l="1"/>
  <c r="AH776" i="3"/>
  <c r="E776" i="3"/>
  <c r="H776" i="3" s="1"/>
  <c r="K776" i="3" s="1"/>
  <c r="AE776" i="3" s="1"/>
  <c r="D776" i="3"/>
  <c r="G776" i="3" s="1"/>
  <c r="F776" i="3" l="1"/>
  <c r="I776" i="3"/>
  <c r="J776" i="3"/>
  <c r="M776" i="3"/>
  <c r="N776" i="3" s="1"/>
  <c r="V776" i="3"/>
  <c r="A777" i="3"/>
  <c r="B777" i="3" s="1"/>
  <c r="W776" i="3" l="1"/>
  <c r="L776" i="3"/>
  <c r="Z777" i="3"/>
  <c r="AA777" i="3"/>
  <c r="P777" i="3"/>
  <c r="Q777" i="3" s="1"/>
  <c r="R777" i="3" s="1"/>
  <c r="S777" i="3" s="1"/>
  <c r="AD777" i="3"/>
  <c r="AC777" i="3"/>
  <c r="U776" i="3" l="1"/>
  <c r="Y775" i="3"/>
  <c r="T777" i="3"/>
  <c r="AH777" i="3" s="1"/>
  <c r="E777" i="3" l="1"/>
  <c r="H777" i="3" s="1"/>
  <c r="D777" i="3"/>
  <c r="AG777" i="3"/>
  <c r="K777" i="3" l="1"/>
  <c r="AE777" i="3" s="1"/>
  <c r="F777" i="3"/>
  <c r="G777" i="3"/>
  <c r="I777" i="3" l="1"/>
  <c r="J777" i="3"/>
  <c r="M777" i="3"/>
  <c r="N777" i="3" s="1"/>
  <c r="V777" i="3"/>
  <c r="A778" i="3"/>
  <c r="B778" i="3" s="1"/>
  <c r="L777" i="3" l="1"/>
  <c r="W777" i="3"/>
  <c r="P778" i="3"/>
  <c r="Q778" i="3" s="1"/>
  <c r="R778" i="3" s="1"/>
  <c r="S778" i="3" s="1"/>
  <c r="Z778" i="3"/>
  <c r="AD778" i="3"/>
  <c r="AA778" i="3"/>
  <c r="AC778" i="3"/>
  <c r="U777" i="3" l="1"/>
  <c r="Y776" i="3"/>
  <c r="T778" i="3"/>
  <c r="AH778" i="3" s="1"/>
  <c r="E778" i="3" l="1"/>
  <c r="H778" i="3" s="1"/>
  <c r="K778" i="3" s="1"/>
  <c r="AE778" i="3" s="1"/>
  <c r="AG778" i="3"/>
  <c r="D778" i="3"/>
  <c r="G778" i="3" s="1"/>
  <c r="F778" i="3" l="1"/>
  <c r="I778" i="3"/>
  <c r="J778" i="3"/>
  <c r="M778" i="3"/>
  <c r="N778" i="3" s="1"/>
  <c r="V778" i="3"/>
  <c r="A779" i="3"/>
  <c r="B779" i="3" s="1"/>
  <c r="W778" i="3" l="1"/>
  <c r="L778" i="3"/>
  <c r="P779" i="3"/>
  <c r="Q779" i="3" s="1"/>
  <c r="R779" i="3" s="1"/>
  <c r="S779" i="3" s="1"/>
  <c r="AA779" i="3"/>
  <c r="AC779" i="3"/>
  <c r="AD779" i="3"/>
  <c r="Z779" i="3"/>
  <c r="U778" i="3" l="1"/>
  <c r="Y777" i="3"/>
  <c r="T779" i="3"/>
  <c r="E779" i="3" l="1"/>
  <c r="H779" i="3" s="1"/>
  <c r="K779" i="3" s="1"/>
  <c r="AE779" i="3" s="1"/>
  <c r="AG779" i="3"/>
  <c r="AH779" i="3"/>
  <c r="D779" i="3"/>
  <c r="G779" i="3" s="1"/>
  <c r="F779" i="3" l="1"/>
  <c r="I779" i="3"/>
  <c r="J779" i="3"/>
  <c r="M779" i="3"/>
  <c r="N779" i="3" s="1"/>
  <c r="V779" i="3"/>
  <c r="A780" i="3"/>
  <c r="B780" i="3" s="1"/>
  <c r="W779" i="3" l="1"/>
  <c r="L779" i="3"/>
  <c r="P780" i="3"/>
  <c r="Q780" i="3" s="1"/>
  <c r="R780" i="3" s="1"/>
  <c r="S780" i="3" s="1"/>
  <c r="AD780" i="3"/>
  <c r="AA780" i="3"/>
  <c r="Z780" i="3"/>
  <c r="AC780" i="3"/>
  <c r="U779" i="3" l="1"/>
  <c r="Y778" i="3"/>
  <c r="T780" i="3"/>
  <c r="D780" i="3" l="1"/>
  <c r="G780" i="3" s="1"/>
  <c r="AH780" i="3"/>
  <c r="E780" i="3"/>
  <c r="H780" i="3" s="1"/>
  <c r="K780" i="3" s="1"/>
  <c r="AE780" i="3" s="1"/>
  <c r="AG780" i="3"/>
  <c r="F780" i="3" l="1"/>
  <c r="I780" i="3"/>
  <c r="J780" i="3"/>
  <c r="M780" i="3"/>
  <c r="N780" i="3" s="1"/>
  <c r="V780" i="3"/>
  <c r="A781" i="3"/>
  <c r="B781" i="3" s="1"/>
  <c r="W780" i="3" l="1"/>
  <c r="L780" i="3"/>
  <c r="P781" i="3"/>
  <c r="Q781" i="3" s="1"/>
  <c r="R781" i="3" s="1"/>
  <c r="S781" i="3" s="1"/>
  <c r="AD781" i="3"/>
  <c r="Z781" i="3"/>
  <c r="AA781" i="3"/>
  <c r="AC781" i="3"/>
  <c r="T781" i="3" l="1"/>
  <c r="U780" i="3"/>
  <c r="Y779" i="3"/>
  <c r="E781" i="3" l="1"/>
  <c r="H781" i="3" s="1"/>
  <c r="K781" i="3" s="1"/>
  <c r="AE781" i="3" s="1"/>
  <c r="AG781" i="3"/>
  <c r="AH781" i="3"/>
  <c r="D781" i="3"/>
  <c r="F781" i="3" l="1"/>
  <c r="G781" i="3"/>
  <c r="V781" i="3"/>
  <c r="A782" i="3"/>
  <c r="B782" i="3" s="1"/>
  <c r="P782" i="3" l="1"/>
  <c r="Q782" i="3" s="1"/>
  <c r="R782" i="3" s="1"/>
  <c r="S782" i="3" s="1"/>
  <c r="AC782" i="3"/>
  <c r="AD782" i="3"/>
  <c r="AA782" i="3"/>
  <c r="Z782" i="3"/>
  <c r="I781" i="3"/>
  <c r="W781" i="3" s="1"/>
  <c r="J781" i="3"/>
  <c r="M781" i="3"/>
  <c r="N781" i="3" s="1"/>
  <c r="T782" i="3" l="1"/>
  <c r="L781" i="3"/>
  <c r="U781" i="3" l="1"/>
  <c r="D782" i="3" s="1"/>
  <c r="AH782" i="3"/>
  <c r="AG782" i="3"/>
  <c r="Y780" i="3"/>
  <c r="E782" i="3" l="1"/>
  <c r="H782" i="3" s="1"/>
  <c r="K782" i="3" s="1"/>
  <c r="AE782" i="3" s="1"/>
  <c r="G782" i="3"/>
  <c r="F782" i="3" l="1"/>
  <c r="I782" i="3"/>
  <c r="J782" i="3"/>
  <c r="M782" i="3"/>
  <c r="N782" i="3" s="1"/>
  <c r="V782" i="3"/>
  <c r="A783" i="3"/>
  <c r="B783" i="3" s="1"/>
  <c r="W782" i="3" l="1"/>
  <c r="L782" i="3"/>
  <c r="AA783" i="3"/>
  <c r="Z783" i="3"/>
  <c r="P783" i="3"/>
  <c r="Q783" i="3" s="1"/>
  <c r="R783" i="3" s="1"/>
  <c r="S783" i="3" s="1"/>
  <c r="AD783" i="3"/>
  <c r="AC783" i="3"/>
  <c r="U782" i="3" l="1"/>
  <c r="Y781" i="3"/>
  <c r="T783" i="3"/>
  <c r="AH783" i="3" s="1"/>
  <c r="AG783" i="3" l="1"/>
  <c r="D783" i="3"/>
  <c r="G783" i="3" s="1"/>
  <c r="E783" i="3"/>
  <c r="H783" i="3" s="1"/>
  <c r="K783" i="3" s="1"/>
  <c r="AE783" i="3" s="1"/>
  <c r="F783" i="3" l="1"/>
  <c r="I783" i="3"/>
  <c r="J783" i="3"/>
  <c r="M783" i="3"/>
  <c r="N783" i="3" s="1"/>
  <c r="V783" i="3"/>
  <c r="A784" i="3"/>
  <c r="B784" i="3" s="1"/>
  <c r="W783" i="3" l="1"/>
  <c r="L783" i="3"/>
  <c r="AC784" i="3"/>
  <c r="Z784" i="3"/>
  <c r="P784" i="3"/>
  <c r="Q784" i="3" s="1"/>
  <c r="R784" i="3" s="1"/>
  <c r="S784" i="3" s="1"/>
  <c r="AA784" i="3"/>
  <c r="T784" i="3" l="1"/>
  <c r="AG784" i="3" s="1"/>
  <c r="U783" i="3"/>
  <c r="Y782" i="3"/>
  <c r="E784" i="3" l="1"/>
  <c r="H784" i="3" s="1"/>
  <c r="AH784" i="3"/>
  <c r="D784" i="3"/>
  <c r="K784" i="3" l="1"/>
  <c r="AE784" i="3" s="1"/>
  <c r="F784" i="3"/>
  <c r="G784" i="3"/>
  <c r="V784" i="3" l="1"/>
  <c r="A785" i="3"/>
  <c r="B785" i="3" s="1"/>
  <c r="I784" i="3"/>
  <c r="J784" i="3"/>
  <c r="AD784" i="3" s="1"/>
  <c r="M784" i="3"/>
  <c r="N784" i="3" s="1"/>
  <c r="W784" i="3" l="1"/>
  <c r="L784" i="3"/>
  <c r="AA785" i="3"/>
  <c r="AD785" i="3"/>
  <c r="P785" i="3"/>
  <c r="Q785" i="3" s="1"/>
  <c r="R785" i="3" s="1"/>
  <c r="S785" i="3" s="1"/>
  <c r="AC785" i="3"/>
  <c r="Z785" i="3"/>
  <c r="U784" i="3" l="1"/>
  <c r="Y783" i="3"/>
  <c r="T785" i="3"/>
  <c r="AH785" i="3" s="1"/>
  <c r="E785" i="3" l="1"/>
  <c r="H785" i="3" s="1"/>
  <c r="AG785" i="3"/>
  <c r="D785" i="3"/>
  <c r="K785" i="3" l="1"/>
  <c r="AE785" i="3" s="1"/>
  <c r="F785" i="3"/>
  <c r="G785" i="3"/>
  <c r="I785" i="3" l="1"/>
  <c r="J785" i="3"/>
  <c r="M785" i="3"/>
  <c r="N785" i="3" s="1"/>
  <c r="V785" i="3"/>
  <c r="A786" i="3"/>
  <c r="B786" i="3" s="1"/>
  <c r="W785" i="3" l="1"/>
  <c r="L785" i="3"/>
  <c r="Z786" i="3"/>
  <c r="AD786" i="3"/>
  <c r="AA786" i="3"/>
  <c r="P786" i="3"/>
  <c r="Q786" i="3" s="1"/>
  <c r="R786" i="3" s="1"/>
  <c r="S786" i="3" s="1"/>
  <c r="AC786" i="3"/>
  <c r="U785" i="3" l="1"/>
  <c r="Y784" i="3"/>
  <c r="T786" i="3"/>
  <c r="E786" i="3" l="1"/>
  <c r="H786" i="3" s="1"/>
  <c r="K786" i="3" s="1"/>
  <c r="AE786" i="3" s="1"/>
  <c r="AG786" i="3"/>
  <c r="D786" i="3"/>
  <c r="G786" i="3" s="1"/>
  <c r="AH786" i="3"/>
  <c r="F786" i="3" l="1"/>
  <c r="I786" i="3"/>
  <c r="J786" i="3"/>
  <c r="M786" i="3"/>
  <c r="N786" i="3" s="1"/>
  <c r="V786" i="3"/>
  <c r="A787" i="3"/>
  <c r="B787" i="3" s="1"/>
  <c r="L786" i="3" l="1"/>
  <c r="W786" i="3"/>
  <c r="AC787" i="3"/>
  <c r="P787" i="3"/>
  <c r="Q787" i="3" s="1"/>
  <c r="R787" i="3" s="1"/>
  <c r="S787" i="3" s="1"/>
  <c r="Z787" i="3"/>
  <c r="AD787" i="3"/>
  <c r="AA787" i="3"/>
  <c r="U786" i="3" l="1"/>
  <c r="Y785" i="3"/>
  <c r="T787" i="3"/>
  <c r="D787" i="3" l="1"/>
  <c r="G787" i="3" s="1"/>
  <c r="AH787" i="3"/>
  <c r="E787" i="3"/>
  <c r="H787" i="3" s="1"/>
  <c r="AG787" i="3"/>
  <c r="F787" i="3" l="1"/>
  <c r="I787" i="3"/>
  <c r="J787" i="3"/>
  <c r="M787" i="3"/>
  <c r="N787" i="3" s="1"/>
  <c r="K787" i="3"/>
  <c r="AE787" i="3" s="1"/>
  <c r="V787" i="3" l="1"/>
  <c r="W787" i="3" s="1"/>
  <c r="A788" i="3"/>
  <c r="B788" i="3" s="1"/>
  <c r="L787" i="3"/>
  <c r="U787" i="3" l="1"/>
  <c r="Y786" i="3"/>
  <c r="AC788" i="3"/>
  <c r="Z788" i="3"/>
  <c r="AD788" i="3"/>
  <c r="AA788" i="3"/>
  <c r="P788" i="3"/>
  <c r="Q788" i="3" s="1"/>
  <c r="R788" i="3" s="1"/>
  <c r="S788" i="3" s="1"/>
  <c r="T788" i="3" l="1"/>
  <c r="E788" i="3" s="1"/>
  <c r="H788" i="3" s="1"/>
  <c r="D788" i="3" l="1"/>
  <c r="F788" i="3" s="1"/>
  <c r="AG788" i="3"/>
  <c r="AH788" i="3"/>
  <c r="K788" i="3"/>
  <c r="AE788" i="3" s="1"/>
  <c r="G788" i="3" l="1"/>
  <c r="I788" i="3" s="1"/>
  <c r="V788" i="3"/>
  <c r="A789" i="3"/>
  <c r="B789" i="3" s="1"/>
  <c r="M788" i="3" l="1"/>
  <c r="N788" i="3" s="1"/>
  <c r="J788" i="3"/>
  <c r="L788" i="3" s="1"/>
  <c r="W788" i="3"/>
  <c r="P789" i="3"/>
  <c r="Q789" i="3" s="1"/>
  <c r="R789" i="3" s="1"/>
  <c r="S789" i="3" s="1"/>
  <c r="AC789" i="3"/>
  <c r="AD789" i="3"/>
  <c r="AA789" i="3"/>
  <c r="Z789" i="3"/>
  <c r="U788" i="3" l="1"/>
  <c r="Y787" i="3"/>
  <c r="T789" i="3"/>
  <c r="D789" i="3" l="1"/>
  <c r="G789" i="3" s="1"/>
  <c r="E789" i="3"/>
  <c r="H789" i="3" s="1"/>
  <c r="AH789" i="3"/>
  <c r="AG789" i="3"/>
  <c r="F789" i="3" l="1"/>
  <c r="I789" i="3"/>
  <c r="J789" i="3"/>
  <c r="M789" i="3"/>
  <c r="N789" i="3" s="1"/>
  <c r="K789" i="3"/>
  <c r="AE789" i="3" s="1"/>
  <c r="L789" i="3" l="1"/>
  <c r="V789" i="3"/>
  <c r="W789" i="3" s="1"/>
  <c r="A790" i="3"/>
  <c r="B790" i="3" s="1"/>
  <c r="AA790" i="3" l="1"/>
  <c r="AC790" i="3"/>
  <c r="Z790" i="3"/>
  <c r="AD790" i="3"/>
  <c r="P790" i="3"/>
  <c r="Q790" i="3" s="1"/>
  <c r="R790" i="3" s="1"/>
  <c r="S790" i="3" s="1"/>
  <c r="U789" i="3"/>
  <c r="Y788" i="3"/>
  <c r="T790" i="3" l="1"/>
  <c r="D790" i="3" s="1"/>
  <c r="AG790" i="3" l="1"/>
  <c r="G790" i="3"/>
  <c r="AH790" i="3"/>
  <c r="E790" i="3"/>
  <c r="H790" i="3" s="1"/>
  <c r="F790" i="3" l="1"/>
  <c r="I790" i="3"/>
  <c r="J790" i="3"/>
  <c r="M790" i="3"/>
  <c r="N790" i="3" s="1"/>
  <c r="K790" i="3"/>
  <c r="AE790" i="3" s="1"/>
  <c r="V790" i="3" l="1"/>
  <c r="W790" i="3" s="1"/>
  <c r="A791" i="3"/>
  <c r="B791" i="3" s="1"/>
  <c r="L790" i="3"/>
  <c r="U790" i="3" l="1"/>
  <c r="Y789" i="3"/>
  <c r="AD791" i="3"/>
  <c r="P791" i="3"/>
  <c r="Q791" i="3" s="1"/>
  <c r="R791" i="3" s="1"/>
  <c r="S791" i="3" s="1"/>
  <c r="AA791" i="3"/>
  <c r="AC791" i="3"/>
  <c r="Z791" i="3"/>
  <c r="T791" i="3" l="1"/>
  <c r="AG791" i="3" s="1"/>
  <c r="E791" i="3" l="1"/>
  <c r="H791" i="3" s="1"/>
  <c r="K791" i="3" s="1"/>
  <c r="AE791" i="3" s="1"/>
  <c r="D791" i="3"/>
  <c r="G791" i="3" s="1"/>
  <c r="AH791" i="3"/>
  <c r="F791" i="3" l="1"/>
  <c r="I791" i="3"/>
  <c r="J791" i="3"/>
  <c r="M791" i="3"/>
  <c r="N791" i="3" s="1"/>
  <c r="V791" i="3"/>
  <c r="A792" i="3"/>
  <c r="B792" i="3" s="1"/>
  <c r="W791" i="3" l="1"/>
  <c r="L791" i="3"/>
  <c r="P792" i="3"/>
  <c r="Q792" i="3" s="1"/>
  <c r="R792" i="3" s="1"/>
  <c r="S792" i="3" s="1"/>
  <c r="AC792" i="3"/>
  <c r="AD792" i="3"/>
  <c r="Z792" i="3"/>
  <c r="AA792" i="3"/>
  <c r="U791" i="3" l="1"/>
  <c r="Y790" i="3"/>
  <c r="T792" i="3"/>
  <c r="AG792" i="3" s="1"/>
  <c r="AH792" i="3" l="1"/>
  <c r="D792" i="3"/>
  <c r="E792" i="3"/>
  <c r="H792" i="3" s="1"/>
  <c r="F792" i="3" l="1"/>
  <c r="G792" i="3"/>
  <c r="K792" i="3"/>
  <c r="AE792" i="3" s="1"/>
  <c r="I792" i="3" l="1"/>
  <c r="J792" i="3"/>
  <c r="M792" i="3"/>
  <c r="N792" i="3" s="1"/>
  <c r="V792" i="3"/>
  <c r="A793" i="3"/>
  <c r="B793" i="3" s="1"/>
  <c r="L792" i="3" l="1"/>
  <c r="W792" i="3"/>
  <c r="AD793" i="3"/>
  <c r="AC793" i="3"/>
  <c r="Z793" i="3"/>
  <c r="P793" i="3"/>
  <c r="Q793" i="3" s="1"/>
  <c r="R793" i="3" s="1"/>
  <c r="S793" i="3" s="1"/>
  <c r="AA793" i="3"/>
  <c r="T793" i="3" l="1"/>
  <c r="U792" i="3"/>
  <c r="Y791" i="3"/>
  <c r="E793" i="3" l="1"/>
  <c r="H793" i="3" s="1"/>
  <c r="K793" i="3" s="1"/>
  <c r="AE793" i="3" s="1"/>
  <c r="D793" i="3"/>
  <c r="AG793" i="3"/>
  <c r="AH793" i="3"/>
  <c r="F793" i="3" l="1"/>
  <c r="G793" i="3"/>
  <c r="M793" i="3" s="1"/>
  <c r="N793" i="3" s="1"/>
  <c r="V793" i="3"/>
  <c r="A794" i="3"/>
  <c r="B794" i="3" s="1"/>
  <c r="I793" i="3" l="1"/>
  <c r="W793" i="3" s="1"/>
  <c r="J793" i="3"/>
  <c r="L793" i="3" s="1"/>
  <c r="Z794" i="3"/>
  <c r="AC794" i="3"/>
  <c r="P794" i="3"/>
  <c r="Q794" i="3" s="1"/>
  <c r="R794" i="3" s="1"/>
  <c r="S794" i="3" s="1"/>
  <c r="AA794" i="3"/>
  <c r="T794" i="3" l="1"/>
  <c r="AH794" i="3" s="1"/>
  <c r="U793" i="3"/>
  <c r="Y792" i="3"/>
  <c r="AG794" i="3" l="1"/>
  <c r="D794" i="3"/>
  <c r="E794" i="3"/>
  <c r="H794" i="3" s="1"/>
  <c r="F794" i="3" l="1"/>
  <c r="G794" i="3"/>
  <c r="K794" i="3"/>
  <c r="AE794" i="3" s="1"/>
  <c r="I794" i="3" l="1"/>
  <c r="J794" i="3"/>
  <c r="AD794" i="3" s="1"/>
  <c r="M794" i="3"/>
  <c r="N794" i="3" s="1"/>
  <c r="V794" i="3"/>
  <c r="A795" i="3"/>
  <c r="B795" i="3" s="1"/>
  <c r="L794" i="3" l="1"/>
  <c r="W794" i="3"/>
  <c r="P795" i="3"/>
  <c r="Q795" i="3" s="1"/>
  <c r="R795" i="3" s="1"/>
  <c r="S795" i="3" s="1"/>
  <c r="AD795" i="3"/>
  <c r="Z795" i="3"/>
  <c r="AA795" i="3"/>
  <c r="AC795" i="3"/>
  <c r="T795" i="3" l="1"/>
  <c r="U794" i="3"/>
  <c r="Y793" i="3"/>
  <c r="D795" i="3" l="1"/>
  <c r="G795" i="3" s="1"/>
  <c r="E795" i="3"/>
  <c r="H795" i="3" s="1"/>
  <c r="K795" i="3" s="1"/>
  <c r="AE795" i="3" s="1"/>
  <c r="AH795" i="3"/>
  <c r="AG795" i="3"/>
  <c r="F795" i="3" l="1"/>
  <c r="I795" i="3"/>
  <c r="J795" i="3"/>
  <c r="M795" i="3"/>
  <c r="N795" i="3" s="1"/>
  <c r="V795" i="3"/>
  <c r="A796" i="3"/>
  <c r="B796" i="3" s="1"/>
  <c r="W795" i="3" l="1"/>
  <c r="L795" i="3"/>
  <c r="Z796" i="3"/>
  <c r="AA796" i="3"/>
  <c r="AD796" i="3"/>
  <c r="AC796" i="3"/>
  <c r="P796" i="3"/>
  <c r="Q796" i="3" s="1"/>
  <c r="R796" i="3" s="1"/>
  <c r="S796" i="3" s="1"/>
  <c r="T796" i="3" l="1"/>
  <c r="U795" i="3"/>
  <c r="Y794" i="3"/>
  <c r="E796" i="3" l="1"/>
  <c r="H796" i="3" s="1"/>
  <c r="K796" i="3" s="1"/>
  <c r="AE796" i="3" s="1"/>
  <c r="AH796" i="3"/>
  <c r="AG796" i="3"/>
  <c r="D796" i="3"/>
  <c r="F796" i="3" l="1"/>
  <c r="G796" i="3"/>
  <c r="V796" i="3"/>
  <c r="A797" i="3"/>
  <c r="B797" i="3" s="1"/>
  <c r="I796" i="3" l="1"/>
  <c r="W796" i="3" s="1"/>
  <c r="J796" i="3"/>
  <c r="M796" i="3"/>
  <c r="N796" i="3" s="1"/>
  <c r="P797" i="3"/>
  <c r="Q797" i="3" s="1"/>
  <c r="R797" i="3" s="1"/>
  <c r="S797" i="3" s="1"/>
  <c r="AA797" i="3"/>
  <c r="AC797" i="3"/>
  <c r="Z797" i="3"/>
  <c r="AD797" i="3"/>
  <c r="T797" i="3" l="1"/>
  <c r="L796" i="3"/>
  <c r="AH797" i="3" l="1"/>
  <c r="AG797" i="3"/>
  <c r="U796" i="3"/>
  <c r="E797" i="3" s="1"/>
  <c r="H797" i="3" s="1"/>
  <c r="Y795" i="3"/>
  <c r="D797" i="3" l="1"/>
  <c r="G797" i="3" s="1"/>
  <c r="K797" i="3"/>
  <c r="AE797" i="3" s="1"/>
  <c r="F797" i="3" l="1"/>
  <c r="I797" i="3"/>
  <c r="J797" i="3"/>
  <c r="M797" i="3"/>
  <c r="N797" i="3" s="1"/>
  <c r="V797" i="3"/>
  <c r="A798" i="3"/>
  <c r="B798" i="3" s="1"/>
  <c r="W797" i="3" l="1"/>
  <c r="L797" i="3"/>
  <c r="Z798" i="3"/>
  <c r="AA798" i="3"/>
  <c r="P798" i="3"/>
  <c r="Q798" i="3" s="1"/>
  <c r="R798" i="3" s="1"/>
  <c r="S798" i="3" s="1"/>
  <c r="AC798" i="3"/>
  <c r="AD798" i="3"/>
  <c r="T798" i="3" l="1"/>
  <c r="U797" i="3"/>
  <c r="Y796" i="3"/>
  <c r="E798" i="3" l="1"/>
  <c r="H798" i="3" s="1"/>
  <c r="K798" i="3" s="1"/>
  <c r="AE798" i="3" s="1"/>
  <c r="D798" i="3"/>
  <c r="G798" i="3" s="1"/>
  <c r="AH798" i="3"/>
  <c r="AG798" i="3"/>
  <c r="F798" i="3" l="1"/>
  <c r="I798" i="3"/>
  <c r="J798" i="3"/>
  <c r="M798" i="3"/>
  <c r="N798" i="3" s="1"/>
  <c r="V798" i="3"/>
  <c r="A799" i="3"/>
  <c r="B799" i="3" s="1"/>
  <c r="W798" i="3" l="1"/>
  <c r="L798" i="3"/>
  <c r="Z799" i="3"/>
  <c r="P799" i="3"/>
  <c r="Q799" i="3" s="1"/>
  <c r="R799" i="3" s="1"/>
  <c r="S799" i="3" s="1"/>
  <c r="AD799" i="3"/>
  <c r="AC799" i="3"/>
  <c r="AA799" i="3"/>
  <c r="T799" i="3" l="1"/>
  <c r="AH799" i="3" s="1"/>
  <c r="U798" i="3"/>
  <c r="Y797" i="3"/>
  <c r="AG799" i="3" l="1"/>
  <c r="E799" i="3"/>
  <c r="H799" i="3" s="1"/>
  <c r="D799" i="3"/>
  <c r="K799" i="3" l="1"/>
  <c r="AE799" i="3" s="1"/>
  <c r="F799" i="3"/>
  <c r="G799" i="3"/>
  <c r="V799" i="3" l="1"/>
  <c r="A800" i="3"/>
  <c r="B800" i="3" s="1"/>
  <c r="I799" i="3"/>
  <c r="J799" i="3"/>
  <c r="M799" i="3"/>
  <c r="N799" i="3" s="1"/>
  <c r="W799" i="3" l="1"/>
  <c r="L799" i="3"/>
  <c r="AC800" i="3"/>
  <c r="AA800" i="3"/>
  <c r="P800" i="3"/>
  <c r="Q800" i="3" s="1"/>
  <c r="R800" i="3" s="1"/>
  <c r="S800" i="3" s="1"/>
  <c r="AD800" i="3"/>
  <c r="Z800" i="3"/>
  <c r="U799" i="3" l="1"/>
  <c r="Y798" i="3"/>
  <c r="T800" i="3"/>
  <c r="E800" i="3" l="1"/>
  <c r="H800" i="3" s="1"/>
  <c r="K800" i="3" s="1"/>
  <c r="AE800" i="3" s="1"/>
  <c r="D800" i="3"/>
  <c r="AG800" i="3"/>
  <c r="AH800" i="3"/>
  <c r="V800" i="3" l="1"/>
  <c r="A801" i="3"/>
  <c r="B801" i="3" s="1"/>
  <c r="F800" i="3"/>
  <c r="G800" i="3"/>
  <c r="I800" i="3" l="1"/>
  <c r="W800" i="3" s="1"/>
  <c r="J800" i="3"/>
  <c r="M800" i="3"/>
  <c r="N800" i="3" s="1"/>
  <c r="AA801" i="3"/>
  <c r="AD801" i="3"/>
  <c r="Z801" i="3"/>
  <c r="P801" i="3"/>
  <c r="Q801" i="3" s="1"/>
  <c r="R801" i="3" s="1"/>
  <c r="S801" i="3" s="1"/>
  <c r="AC801" i="3"/>
  <c r="L800" i="3" l="1"/>
  <c r="T801" i="3"/>
  <c r="AG801" i="3" l="1"/>
  <c r="AH801" i="3"/>
  <c r="U800" i="3"/>
  <c r="E801" i="3" s="1"/>
  <c r="H801" i="3" s="1"/>
  <c r="Y799" i="3"/>
  <c r="D801" i="3" l="1"/>
  <c r="G801" i="3" s="1"/>
  <c r="K801" i="3"/>
  <c r="AE801" i="3" s="1"/>
  <c r="F801" i="3" l="1"/>
  <c r="I801" i="3"/>
  <c r="J801" i="3"/>
  <c r="M801" i="3"/>
  <c r="N801" i="3" s="1"/>
  <c r="V801" i="3"/>
  <c r="A802" i="3"/>
  <c r="B802" i="3" s="1"/>
  <c r="W801" i="3" l="1"/>
  <c r="L801" i="3"/>
  <c r="Z802" i="3"/>
  <c r="P802" i="3"/>
  <c r="Q802" i="3" s="1"/>
  <c r="R802" i="3" s="1"/>
  <c r="S802" i="3" s="1"/>
  <c r="AA802" i="3"/>
  <c r="AD802" i="3"/>
  <c r="AC802" i="3"/>
  <c r="U801" i="3" l="1"/>
  <c r="Y800" i="3"/>
  <c r="T802" i="3"/>
  <c r="AG802" i="3" s="1"/>
  <c r="E802" i="3" l="1"/>
  <c r="H802" i="3" s="1"/>
  <c r="D802" i="3"/>
  <c r="AH802" i="3"/>
  <c r="K802" i="3" l="1"/>
  <c r="AE802" i="3" s="1"/>
  <c r="F802" i="3"/>
  <c r="G802" i="3"/>
  <c r="I802" i="3" l="1"/>
  <c r="J802" i="3"/>
  <c r="M802" i="3"/>
  <c r="N802" i="3" s="1"/>
  <c r="V802" i="3"/>
  <c r="A803" i="3"/>
  <c r="B803" i="3" s="1"/>
  <c r="L802" i="3" l="1"/>
  <c r="W802" i="3"/>
  <c r="Z803" i="3"/>
  <c r="AD803" i="3"/>
  <c r="AA803" i="3"/>
  <c r="AC803" i="3"/>
  <c r="P803" i="3"/>
  <c r="Q803" i="3" s="1"/>
  <c r="R803" i="3" s="1"/>
  <c r="S803" i="3" s="1"/>
  <c r="U802" i="3" l="1"/>
  <c r="Y801" i="3"/>
  <c r="T803" i="3"/>
  <c r="AG803" i="3" s="1"/>
  <c r="AH803" i="3" l="1"/>
  <c r="D803" i="3"/>
  <c r="E803" i="3"/>
  <c r="H803" i="3" s="1"/>
  <c r="F803" i="3" l="1"/>
  <c r="G803" i="3"/>
  <c r="K803" i="3"/>
  <c r="AE803" i="3" s="1"/>
  <c r="V803" i="3" l="1"/>
  <c r="A804" i="3"/>
  <c r="B804" i="3" s="1"/>
  <c r="I803" i="3"/>
  <c r="J803" i="3"/>
  <c r="M803" i="3"/>
  <c r="N803" i="3" s="1"/>
  <c r="L803" i="3" l="1"/>
  <c r="W803" i="3"/>
  <c r="AC804" i="3"/>
  <c r="P804" i="3"/>
  <c r="Q804" i="3" s="1"/>
  <c r="R804" i="3" s="1"/>
  <c r="S804" i="3" s="1"/>
  <c r="AA804" i="3"/>
  <c r="Z804" i="3"/>
  <c r="U803" i="3" l="1"/>
  <c r="Y802" i="3"/>
  <c r="T804" i="3"/>
  <c r="AH804" i="3" s="1"/>
  <c r="D804" i="3" l="1"/>
  <c r="G804" i="3" s="1"/>
  <c r="AG804" i="3"/>
  <c r="E804" i="3"/>
  <c r="H804" i="3" s="1"/>
  <c r="K804" i="3" s="1"/>
  <c r="AE804" i="3" s="1"/>
  <c r="F804" i="3" l="1"/>
  <c r="I804" i="3"/>
  <c r="J804" i="3"/>
  <c r="AD804" i="3" s="1"/>
  <c r="M804" i="3"/>
  <c r="N804" i="3" s="1"/>
  <c r="V804" i="3"/>
  <c r="A805" i="3"/>
  <c r="B805" i="3" s="1"/>
  <c r="W804" i="3" l="1"/>
  <c r="L804" i="3"/>
  <c r="Z805" i="3"/>
  <c r="P805" i="3"/>
  <c r="Q805" i="3" s="1"/>
  <c r="R805" i="3" s="1"/>
  <c r="S805" i="3" s="1"/>
  <c r="AD805" i="3"/>
  <c r="AC805" i="3"/>
  <c r="AA805" i="3"/>
  <c r="T805" i="3" l="1"/>
  <c r="AH805" i="3" s="1"/>
  <c r="U804" i="3"/>
  <c r="Y803" i="3"/>
  <c r="E805" i="3" l="1"/>
  <c r="H805" i="3" s="1"/>
  <c r="AG805" i="3"/>
  <c r="D805" i="3"/>
  <c r="K805" i="3" l="1"/>
  <c r="AE805" i="3" s="1"/>
  <c r="F805" i="3"/>
  <c r="G805" i="3"/>
  <c r="I805" i="3" l="1"/>
  <c r="J805" i="3"/>
  <c r="M805" i="3"/>
  <c r="N805" i="3" s="1"/>
  <c r="V805" i="3"/>
  <c r="A806" i="3"/>
  <c r="B806" i="3" s="1"/>
  <c r="W805" i="3" l="1"/>
  <c r="L805" i="3"/>
  <c r="Z806" i="3"/>
  <c r="AA806" i="3"/>
  <c r="P806" i="3"/>
  <c r="Q806" i="3" s="1"/>
  <c r="R806" i="3" s="1"/>
  <c r="S806" i="3" s="1"/>
  <c r="AC806" i="3"/>
  <c r="AD806" i="3"/>
  <c r="T806" i="3" l="1"/>
  <c r="U805" i="3"/>
  <c r="Y804" i="3"/>
  <c r="D806" i="3" l="1"/>
  <c r="G806" i="3" s="1"/>
  <c r="AH806" i="3"/>
  <c r="AG806" i="3"/>
  <c r="E806" i="3"/>
  <c r="H806" i="3" s="1"/>
  <c r="K806" i="3" l="1"/>
  <c r="AE806" i="3" s="1"/>
  <c r="I806" i="3"/>
  <c r="J806" i="3"/>
  <c r="M806" i="3"/>
  <c r="N806" i="3" s="1"/>
  <c r="F806" i="3"/>
  <c r="L806" i="3" l="1"/>
  <c r="V806" i="3"/>
  <c r="W806" i="3" s="1"/>
  <c r="A807" i="3"/>
  <c r="B807" i="3" s="1"/>
  <c r="AC807" i="3" l="1"/>
  <c r="P807" i="3"/>
  <c r="Q807" i="3" s="1"/>
  <c r="R807" i="3" s="1"/>
  <c r="S807" i="3" s="1"/>
  <c r="AA807" i="3"/>
  <c r="AD807" i="3"/>
  <c r="Z807" i="3"/>
  <c r="U806" i="3"/>
  <c r="Y805" i="3"/>
  <c r="T807" i="3" l="1"/>
  <c r="AH807" i="3" l="1"/>
  <c r="AG807" i="3"/>
  <c r="E807" i="3"/>
  <c r="H807" i="3" s="1"/>
  <c r="D807" i="3"/>
  <c r="K807" i="3" l="1"/>
  <c r="AE807" i="3" s="1"/>
  <c r="F807" i="3"/>
  <c r="G807" i="3"/>
  <c r="I807" i="3" l="1"/>
  <c r="J807" i="3"/>
  <c r="M807" i="3"/>
  <c r="N807" i="3" s="1"/>
  <c r="V807" i="3"/>
  <c r="A808" i="3"/>
  <c r="B808" i="3" s="1"/>
  <c r="W807" i="3" l="1"/>
  <c r="L807" i="3"/>
  <c r="P808" i="3"/>
  <c r="Q808" i="3" s="1"/>
  <c r="R808" i="3" s="1"/>
  <c r="S808" i="3" s="1"/>
  <c r="AA808" i="3"/>
  <c r="Z808" i="3"/>
  <c r="AD808" i="3"/>
  <c r="AC808" i="3"/>
  <c r="U807" i="3" l="1"/>
  <c r="Y806" i="3"/>
  <c r="T808" i="3"/>
  <c r="AH808" i="3" s="1"/>
  <c r="D808" i="3" l="1"/>
  <c r="G808" i="3" s="1"/>
  <c r="E808" i="3"/>
  <c r="H808" i="3" s="1"/>
  <c r="K808" i="3" s="1"/>
  <c r="AE808" i="3" s="1"/>
  <c r="AG808" i="3"/>
  <c r="F808" i="3" l="1"/>
  <c r="I808" i="3"/>
  <c r="J808" i="3"/>
  <c r="M808" i="3"/>
  <c r="N808" i="3" s="1"/>
  <c r="V808" i="3"/>
  <c r="A809" i="3"/>
  <c r="B809" i="3" s="1"/>
  <c r="W808" i="3" l="1"/>
  <c r="AC809" i="3"/>
  <c r="Z809" i="3"/>
  <c r="AA809" i="3"/>
  <c r="P809" i="3"/>
  <c r="Q809" i="3" s="1"/>
  <c r="R809" i="3" s="1"/>
  <c r="S809" i="3" s="1"/>
  <c r="AD809" i="3"/>
  <c r="L808" i="3"/>
  <c r="T809" i="3" l="1"/>
  <c r="U808" i="3"/>
  <c r="Y807" i="3"/>
  <c r="E809" i="3" l="1"/>
  <c r="H809" i="3" s="1"/>
  <c r="K809" i="3" s="1"/>
  <c r="AE809" i="3" s="1"/>
  <c r="AG809" i="3"/>
  <c r="D809" i="3"/>
  <c r="AH809" i="3"/>
  <c r="V809" i="3" l="1"/>
  <c r="A810" i="3"/>
  <c r="B810" i="3" s="1"/>
  <c r="F809" i="3"/>
  <c r="G809" i="3"/>
  <c r="I809" i="3" l="1"/>
  <c r="W809" i="3" s="1"/>
  <c r="J809" i="3"/>
  <c r="M809" i="3"/>
  <c r="N809" i="3" s="1"/>
  <c r="AD810" i="3"/>
  <c r="P810" i="3"/>
  <c r="Q810" i="3" s="1"/>
  <c r="R810" i="3" s="1"/>
  <c r="S810" i="3" s="1"/>
  <c r="AA810" i="3"/>
  <c r="AC810" i="3"/>
  <c r="Z810" i="3"/>
  <c r="T810" i="3" l="1"/>
  <c r="L809" i="3"/>
  <c r="AH810" i="3" l="1"/>
  <c r="AG810" i="3"/>
  <c r="U809" i="3"/>
  <c r="E810" i="3" s="1"/>
  <c r="H810" i="3" s="1"/>
  <c r="Y808" i="3"/>
  <c r="D810" i="3" l="1"/>
  <c r="G810" i="3" s="1"/>
  <c r="K810" i="3"/>
  <c r="AE810" i="3" s="1"/>
  <c r="F810" i="3" l="1"/>
  <c r="I810" i="3"/>
  <c r="J810" i="3"/>
  <c r="M810" i="3"/>
  <c r="N810" i="3" s="1"/>
  <c r="V810" i="3"/>
  <c r="A811" i="3"/>
  <c r="B811" i="3" s="1"/>
  <c r="L810" i="3" l="1"/>
  <c r="W810" i="3"/>
  <c r="AA811" i="3"/>
  <c r="P811" i="3"/>
  <c r="Q811" i="3" s="1"/>
  <c r="R811" i="3" s="1"/>
  <c r="S811" i="3" s="1"/>
  <c r="Z811" i="3"/>
  <c r="AD811" i="3"/>
  <c r="AC811" i="3"/>
  <c r="U810" i="3" l="1"/>
  <c r="Y809" i="3"/>
  <c r="T811" i="3"/>
  <c r="E811" i="3" l="1"/>
  <c r="H811" i="3" s="1"/>
  <c r="K811" i="3" s="1"/>
  <c r="AE811" i="3" s="1"/>
  <c r="AH811" i="3"/>
  <c r="AG811" i="3"/>
  <c r="D811" i="3"/>
  <c r="V811" i="3" l="1"/>
  <c r="A812" i="3"/>
  <c r="B812" i="3" s="1"/>
  <c r="F811" i="3"/>
  <c r="G811" i="3"/>
  <c r="I811" i="3" l="1"/>
  <c r="W811" i="3" s="1"/>
  <c r="J811" i="3"/>
  <c r="M811" i="3"/>
  <c r="N811" i="3" s="1"/>
  <c r="Z812" i="3"/>
  <c r="AA812" i="3"/>
  <c r="AD812" i="3"/>
  <c r="P812" i="3"/>
  <c r="Q812" i="3" s="1"/>
  <c r="R812" i="3" s="1"/>
  <c r="S812" i="3" s="1"/>
  <c r="AC812" i="3"/>
  <c r="T812" i="3" l="1"/>
  <c r="L811" i="3"/>
  <c r="AG812" i="3" l="1"/>
  <c r="U811" i="3"/>
  <c r="D812" i="3" s="1"/>
  <c r="AH812" i="3"/>
  <c r="Y810" i="3"/>
  <c r="G812" i="3" l="1"/>
  <c r="E812" i="3"/>
  <c r="H812" i="3" s="1"/>
  <c r="I812" i="3" l="1"/>
  <c r="J812" i="3"/>
  <c r="M812" i="3"/>
  <c r="N812" i="3" s="1"/>
  <c r="F812" i="3"/>
  <c r="K812" i="3"/>
  <c r="AE812" i="3" s="1"/>
  <c r="L812" i="3" l="1"/>
  <c r="V812" i="3"/>
  <c r="W812" i="3" s="1"/>
  <c r="A813" i="3"/>
  <c r="B813" i="3" s="1"/>
  <c r="U812" i="3" l="1"/>
  <c r="Y811" i="3"/>
  <c r="AA813" i="3"/>
  <c r="P813" i="3"/>
  <c r="Q813" i="3" s="1"/>
  <c r="R813" i="3" s="1"/>
  <c r="S813" i="3" s="1"/>
  <c r="Z813" i="3"/>
  <c r="AC813" i="3"/>
  <c r="AD813" i="3"/>
  <c r="T813" i="3" l="1"/>
  <c r="AG813" i="3" s="1"/>
  <c r="AH813" i="3" l="1"/>
  <c r="D813" i="3"/>
  <c r="E813" i="3"/>
  <c r="H813" i="3" s="1"/>
  <c r="F813" i="3" l="1"/>
  <c r="G813" i="3"/>
  <c r="K813" i="3"/>
  <c r="AE813" i="3" s="1"/>
  <c r="I813" i="3" l="1"/>
  <c r="J813" i="3"/>
  <c r="M813" i="3"/>
  <c r="N813" i="3" s="1"/>
  <c r="V813" i="3"/>
  <c r="A814" i="3"/>
  <c r="B814" i="3" s="1"/>
  <c r="W813" i="3" l="1"/>
  <c r="L813" i="3"/>
  <c r="P814" i="3"/>
  <c r="Q814" i="3" s="1"/>
  <c r="R814" i="3" s="1"/>
  <c r="S814" i="3" s="1"/>
  <c r="AA814" i="3"/>
  <c r="Z814" i="3"/>
  <c r="AC814" i="3"/>
  <c r="U813" i="3" l="1"/>
  <c r="Y812" i="3"/>
  <c r="T814" i="3"/>
  <c r="D814" i="3" l="1"/>
  <c r="G814" i="3" s="1"/>
  <c r="E814" i="3"/>
  <c r="H814" i="3" s="1"/>
  <c r="K814" i="3" s="1"/>
  <c r="AE814" i="3" s="1"/>
  <c r="AH814" i="3"/>
  <c r="AG814" i="3"/>
  <c r="F814" i="3" l="1"/>
  <c r="I814" i="3"/>
  <c r="J814" i="3"/>
  <c r="AD814" i="3" s="1"/>
  <c r="M814" i="3"/>
  <c r="N814" i="3" s="1"/>
  <c r="V814" i="3"/>
  <c r="A815" i="3"/>
  <c r="B815" i="3" s="1"/>
  <c r="W814" i="3" l="1"/>
  <c r="L814" i="3"/>
  <c r="AA815" i="3"/>
  <c r="AD815" i="3"/>
  <c r="AC815" i="3"/>
  <c r="Z815" i="3"/>
  <c r="P815" i="3"/>
  <c r="Q815" i="3" s="1"/>
  <c r="R815" i="3" s="1"/>
  <c r="S815" i="3" s="1"/>
  <c r="T815" i="3" l="1"/>
  <c r="AH815" i="3" s="1"/>
  <c r="U814" i="3"/>
  <c r="Y813" i="3"/>
  <c r="AG815" i="3" l="1"/>
  <c r="E815" i="3"/>
  <c r="H815" i="3" s="1"/>
  <c r="D815" i="3"/>
  <c r="K815" i="3" l="1"/>
  <c r="AE815" i="3" s="1"/>
  <c r="F815" i="3"/>
  <c r="G815" i="3"/>
  <c r="V815" i="3" l="1"/>
  <c r="A816" i="3"/>
  <c r="B816" i="3" s="1"/>
  <c r="I815" i="3"/>
  <c r="J815" i="3"/>
  <c r="M815" i="3"/>
  <c r="N815" i="3" s="1"/>
  <c r="W815" i="3" l="1"/>
  <c r="L815" i="3"/>
  <c r="P816" i="3"/>
  <c r="Q816" i="3" s="1"/>
  <c r="R816" i="3" s="1"/>
  <c r="S816" i="3" s="1"/>
  <c r="AC816" i="3"/>
  <c r="AD816" i="3"/>
  <c r="AA816" i="3"/>
  <c r="Z816" i="3"/>
  <c r="T816" i="3" l="1"/>
  <c r="U815" i="3"/>
  <c r="Y814" i="3"/>
  <c r="E816" i="3" l="1"/>
  <c r="H816" i="3" s="1"/>
  <c r="K816" i="3" s="1"/>
  <c r="AE816" i="3" s="1"/>
  <c r="D816" i="3"/>
  <c r="G816" i="3" s="1"/>
  <c r="AG816" i="3"/>
  <c r="AH816" i="3"/>
  <c r="F816" i="3" l="1"/>
  <c r="I816" i="3"/>
  <c r="J816" i="3"/>
  <c r="M816" i="3"/>
  <c r="N816" i="3" s="1"/>
  <c r="V816" i="3"/>
  <c r="A817" i="3"/>
  <c r="B817" i="3" s="1"/>
  <c r="W816" i="3" l="1"/>
  <c r="L816" i="3"/>
  <c r="P817" i="3"/>
  <c r="Q817" i="3" s="1"/>
  <c r="R817" i="3" s="1"/>
  <c r="S817" i="3" s="1"/>
  <c r="AD817" i="3"/>
  <c r="Z817" i="3"/>
  <c r="AA817" i="3"/>
  <c r="AC817" i="3"/>
  <c r="U816" i="3" l="1"/>
  <c r="Y815" i="3"/>
  <c r="T817" i="3"/>
  <c r="AG817" i="3" s="1"/>
  <c r="E817" i="3" l="1"/>
  <c r="H817" i="3" s="1"/>
  <c r="AH817" i="3"/>
  <c r="D817" i="3"/>
  <c r="F817" i="3" l="1"/>
  <c r="G817" i="3"/>
  <c r="K817" i="3"/>
  <c r="AE817" i="3" s="1"/>
  <c r="V817" i="3" l="1"/>
  <c r="A818" i="3"/>
  <c r="B818" i="3" s="1"/>
  <c r="I817" i="3"/>
  <c r="J817" i="3"/>
  <c r="M817" i="3"/>
  <c r="N817" i="3" s="1"/>
  <c r="W817" i="3" l="1"/>
  <c r="L817" i="3"/>
  <c r="AD818" i="3"/>
  <c r="Z818" i="3"/>
  <c r="AA818" i="3"/>
  <c r="P818" i="3"/>
  <c r="Q818" i="3" s="1"/>
  <c r="R818" i="3" s="1"/>
  <c r="S818" i="3" s="1"/>
  <c r="AC818" i="3"/>
  <c r="T818" i="3" l="1"/>
  <c r="U817" i="3"/>
  <c r="Y816" i="3"/>
  <c r="E818" i="3" l="1"/>
  <c r="H818" i="3" s="1"/>
  <c r="K818" i="3" s="1"/>
  <c r="AE818" i="3" s="1"/>
  <c r="D818" i="3"/>
  <c r="G818" i="3" s="1"/>
  <c r="AH818" i="3"/>
  <c r="AG818" i="3"/>
  <c r="F818" i="3" l="1"/>
  <c r="V818" i="3"/>
  <c r="A819" i="3"/>
  <c r="B819" i="3" s="1"/>
  <c r="I818" i="3"/>
  <c r="J818" i="3"/>
  <c r="M818" i="3"/>
  <c r="N818" i="3" s="1"/>
  <c r="W818" i="3" l="1"/>
  <c r="L818" i="3"/>
  <c r="AD819" i="3"/>
  <c r="AC819" i="3"/>
  <c r="AA819" i="3"/>
  <c r="Z819" i="3"/>
  <c r="P819" i="3"/>
  <c r="Q819" i="3" s="1"/>
  <c r="R819" i="3" s="1"/>
  <c r="S819" i="3" s="1"/>
  <c r="T819" i="3" l="1"/>
  <c r="AG819" i="3" s="1"/>
  <c r="U818" i="3"/>
  <c r="Y817" i="3"/>
  <c r="AH819" i="3" l="1"/>
  <c r="E819" i="3"/>
  <c r="H819" i="3" s="1"/>
  <c r="K819" i="3" s="1"/>
  <c r="AE819" i="3" s="1"/>
  <c r="D819" i="3"/>
  <c r="V819" i="3" l="1"/>
  <c r="A820" i="3"/>
  <c r="B820" i="3" s="1"/>
  <c r="F819" i="3"/>
  <c r="G819" i="3"/>
  <c r="I819" i="3" l="1"/>
  <c r="W819" i="3" s="1"/>
  <c r="J819" i="3"/>
  <c r="M819" i="3"/>
  <c r="N819" i="3" s="1"/>
  <c r="Z820" i="3"/>
  <c r="AD820" i="3"/>
  <c r="AA820" i="3"/>
  <c r="P820" i="3"/>
  <c r="Q820" i="3" s="1"/>
  <c r="R820" i="3" s="1"/>
  <c r="S820" i="3" s="1"/>
  <c r="AC820" i="3"/>
  <c r="T820" i="3" l="1"/>
  <c r="L819" i="3"/>
  <c r="U819" i="3" l="1"/>
  <c r="E820" i="3" s="1"/>
  <c r="H820" i="3" s="1"/>
  <c r="AG820" i="3"/>
  <c r="AH820" i="3"/>
  <c r="Y818" i="3"/>
  <c r="D820" i="3" l="1"/>
  <c r="G820" i="3" s="1"/>
  <c r="K820" i="3"/>
  <c r="AE820" i="3" s="1"/>
  <c r="F820" i="3" l="1"/>
  <c r="I820" i="3"/>
  <c r="J820" i="3"/>
  <c r="M820" i="3"/>
  <c r="N820" i="3" s="1"/>
  <c r="V820" i="3"/>
  <c r="A821" i="3"/>
  <c r="B821" i="3" s="1"/>
  <c r="W820" i="3" l="1"/>
  <c r="L820" i="3"/>
  <c r="P821" i="3"/>
  <c r="Q821" i="3" s="1"/>
  <c r="R821" i="3" s="1"/>
  <c r="S821" i="3" s="1"/>
  <c r="AA821" i="3"/>
  <c r="Z821" i="3"/>
  <c r="AD821" i="3"/>
  <c r="AC821" i="3"/>
  <c r="U820" i="3" l="1"/>
  <c r="Y819" i="3"/>
  <c r="T821" i="3"/>
  <c r="AH821" i="3" s="1"/>
  <c r="AG821" i="3" l="1"/>
  <c r="D821" i="3"/>
  <c r="G821" i="3" s="1"/>
  <c r="E821" i="3"/>
  <c r="H821" i="3" s="1"/>
  <c r="F821" i="3" l="1"/>
  <c r="K821" i="3"/>
  <c r="AE821" i="3" s="1"/>
  <c r="I821" i="3"/>
  <c r="J821" i="3"/>
  <c r="M821" i="3"/>
  <c r="N821" i="3" s="1"/>
  <c r="L821" i="3" l="1"/>
  <c r="V821" i="3"/>
  <c r="W821" i="3" s="1"/>
  <c r="A822" i="3"/>
  <c r="B822" i="3" s="1"/>
  <c r="P822" i="3" l="1"/>
  <c r="Q822" i="3" s="1"/>
  <c r="R822" i="3" s="1"/>
  <c r="S822" i="3" s="1"/>
  <c r="AA822" i="3"/>
  <c r="Z822" i="3"/>
  <c r="AC822" i="3"/>
  <c r="AD822" i="3"/>
  <c r="U821" i="3"/>
  <c r="Y820" i="3"/>
  <c r="T822" i="3" l="1"/>
  <c r="AH822" i="3" s="1"/>
  <c r="D822" i="3" l="1"/>
  <c r="E822" i="3"/>
  <c r="H822" i="3" s="1"/>
  <c r="AG822" i="3"/>
  <c r="K822" i="3" l="1"/>
  <c r="AE822" i="3" s="1"/>
  <c r="F822" i="3"/>
  <c r="G822" i="3"/>
  <c r="I822" i="3" l="1"/>
  <c r="J822" i="3"/>
  <c r="M822" i="3"/>
  <c r="N822" i="3" s="1"/>
  <c r="V822" i="3"/>
  <c r="A823" i="3"/>
  <c r="B823" i="3" s="1"/>
  <c r="W822" i="3" l="1"/>
  <c r="L822" i="3"/>
  <c r="AC823" i="3"/>
  <c r="Z823" i="3"/>
  <c r="P823" i="3"/>
  <c r="Q823" i="3" s="1"/>
  <c r="R823" i="3" s="1"/>
  <c r="S823" i="3" s="1"/>
  <c r="AD823" i="3"/>
  <c r="AA823" i="3"/>
  <c r="U822" i="3" l="1"/>
  <c r="Y821" i="3"/>
  <c r="T823" i="3"/>
  <c r="D823" i="3" l="1"/>
  <c r="G823" i="3" s="1"/>
  <c r="E823" i="3"/>
  <c r="H823" i="3" s="1"/>
  <c r="AG823" i="3"/>
  <c r="AH823" i="3"/>
  <c r="F823" i="3" l="1"/>
  <c r="I823" i="3"/>
  <c r="J823" i="3"/>
  <c r="M823" i="3"/>
  <c r="N823" i="3" s="1"/>
  <c r="K823" i="3"/>
  <c r="AE823" i="3" s="1"/>
  <c r="V823" i="3" l="1"/>
  <c r="W823" i="3" s="1"/>
  <c r="A824" i="3"/>
  <c r="B824" i="3" s="1"/>
  <c r="L823" i="3"/>
  <c r="U823" i="3" l="1"/>
  <c r="Y822" i="3"/>
  <c r="Z824" i="3"/>
  <c r="P824" i="3"/>
  <c r="Q824" i="3" s="1"/>
  <c r="R824" i="3" s="1"/>
  <c r="S824" i="3" s="1"/>
  <c r="AC824" i="3"/>
  <c r="AA824" i="3"/>
  <c r="T824" i="3" l="1"/>
  <c r="D824" i="3" s="1"/>
  <c r="AH824" i="3" l="1"/>
  <c r="E824" i="3"/>
  <c r="H824" i="3" s="1"/>
  <c r="K824" i="3" s="1"/>
  <c r="AE824" i="3" s="1"/>
  <c r="AG824" i="3"/>
  <c r="G824" i="3"/>
  <c r="F824" i="3" l="1"/>
  <c r="V824" i="3"/>
  <c r="A825" i="3"/>
  <c r="B825" i="3" s="1"/>
  <c r="I824" i="3"/>
  <c r="J824" i="3"/>
  <c r="AD824" i="3" s="1"/>
  <c r="M824" i="3"/>
  <c r="N824" i="3" s="1"/>
  <c r="L824" i="3" l="1"/>
  <c r="W824" i="3"/>
  <c r="Z825" i="3"/>
  <c r="AC825" i="3"/>
  <c r="P825" i="3"/>
  <c r="Q825" i="3" s="1"/>
  <c r="R825" i="3" s="1"/>
  <c r="S825" i="3" s="1"/>
  <c r="AA825" i="3"/>
  <c r="AD825" i="3"/>
  <c r="T825" i="3" l="1"/>
  <c r="AG825" i="3" s="1"/>
  <c r="U824" i="3"/>
  <c r="Y823" i="3"/>
  <c r="D825" i="3" l="1"/>
  <c r="E825" i="3"/>
  <c r="H825" i="3" s="1"/>
  <c r="AH825" i="3"/>
  <c r="F825" i="3" l="1"/>
  <c r="G825" i="3"/>
  <c r="K825" i="3"/>
  <c r="AE825" i="3" s="1"/>
  <c r="I825" i="3" l="1"/>
  <c r="J825" i="3"/>
  <c r="M825" i="3"/>
  <c r="N825" i="3" s="1"/>
  <c r="V825" i="3"/>
  <c r="A826" i="3"/>
  <c r="B826" i="3" s="1"/>
  <c r="W825" i="3" l="1"/>
  <c r="L825" i="3"/>
  <c r="P826" i="3"/>
  <c r="Q826" i="3" s="1"/>
  <c r="R826" i="3" s="1"/>
  <c r="S826" i="3" s="1"/>
  <c r="Z826" i="3"/>
  <c r="AA826" i="3"/>
  <c r="AD826" i="3"/>
  <c r="AC826" i="3"/>
  <c r="U825" i="3" l="1"/>
  <c r="Y824" i="3"/>
  <c r="T826" i="3"/>
  <c r="AG826" i="3" s="1"/>
  <c r="E826" i="3" l="1"/>
  <c r="H826" i="3" s="1"/>
  <c r="K826" i="3" s="1"/>
  <c r="AE826" i="3" s="1"/>
  <c r="AH826" i="3"/>
  <c r="D826" i="3"/>
  <c r="G826" i="3" s="1"/>
  <c r="F826" i="3" l="1"/>
  <c r="I826" i="3"/>
  <c r="J826" i="3"/>
  <c r="M826" i="3"/>
  <c r="N826" i="3" s="1"/>
  <c r="V826" i="3"/>
  <c r="A827" i="3"/>
  <c r="B827" i="3" s="1"/>
  <c r="W826" i="3" l="1"/>
  <c r="L826" i="3"/>
  <c r="Z827" i="3"/>
  <c r="AA827" i="3"/>
  <c r="AD827" i="3"/>
  <c r="P827" i="3"/>
  <c r="Q827" i="3" s="1"/>
  <c r="R827" i="3" s="1"/>
  <c r="S827" i="3" s="1"/>
  <c r="AC827" i="3"/>
  <c r="U826" i="3" l="1"/>
  <c r="Y825" i="3"/>
  <c r="T827" i="3"/>
  <c r="AH827" i="3" s="1"/>
  <c r="D827" i="3" l="1"/>
  <c r="G827" i="3" s="1"/>
  <c r="E827" i="3"/>
  <c r="H827" i="3" s="1"/>
  <c r="K827" i="3" s="1"/>
  <c r="AE827" i="3" s="1"/>
  <c r="AG827" i="3"/>
  <c r="F827" i="3" l="1"/>
  <c r="V827" i="3"/>
  <c r="A828" i="3"/>
  <c r="B828" i="3" s="1"/>
  <c r="I827" i="3"/>
  <c r="J827" i="3"/>
  <c r="M827" i="3"/>
  <c r="N827" i="3" s="1"/>
  <c r="W827" i="3" l="1"/>
  <c r="L827" i="3"/>
  <c r="AD828" i="3"/>
  <c r="P828" i="3"/>
  <c r="Q828" i="3" s="1"/>
  <c r="R828" i="3" s="1"/>
  <c r="S828" i="3" s="1"/>
  <c r="AC828" i="3"/>
  <c r="AA828" i="3"/>
  <c r="Z828" i="3"/>
  <c r="U827" i="3" l="1"/>
  <c r="Y826" i="3"/>
  <c r="T828" i="3"/>
  <c r="D828" i="3" l="1"/>
  <c r="G828" i="3" s="1"/>
  <c r="AG828" i="3"/>
  <c r="AH828" i="3"/>
  <c r="E828" i="3"/>
  <c r="H828" i="3" s="1"/>
  <c r="F828" i="3" l="1"/>
  <c r="I828" i="3"/>
  <c r="J828" i="3"/>
  <c r="M828" i="3"/>
  <c r="N828" i="3" s="1"/>
  <c r="K828" i="3"/>
  <c r="AE828" i="3" s="1"/>
  <c r="V828" i="3" l="1"/>
  <c r="W828" i="3" s="1"/>
  <c r="A829" i="3"/>
  <c r="B829" i="3" s="1"/>
  <c r="L828" i="3"/>
  <c r="U828" i="3" l="1"/>
  <c r="Y827" i="3"/>
  <c r="AC829" i="3"/>
  <c r="Z829" i="3"/>
  <c r="AA829" i="3"/>
  <c r="P829" i="3"/>
  <c r="Q829" i="3" s="1"/>
  <c r="R829" i="3" s="1"/>
  <c r="S829" i="3" s="1"/>
  <c r="AD829" i="3"/>
  <c r="T829" i="3" l="1"/>
  <c r="E829" i="3" s="1"/>
  <c r="H829" i="3" s="1"/>
  <c r="AH829" i="3" l="1"/>
  <c r="D829" i="3"/>
  <c r="G829" i="3" s="1"/>
  <c r="AG829" i="3"/>
  <c r="K829" i="3"/>
  <c r="AE829" i="3" s="1"/>
  <c r="F829" i="3" l="1"/>
  <c r="I829" i="3"/>
  <c r="J829" i="3"/>
  <c r="M829" i="3"/>
  <c r="N829" i="3" s="1"/>
  <c r="V829" i="3"/>
  <c r="A830" i="3"/>
  <c r="B830" i="3" s="1"/>
  <c r="W829" i="3" l="1"/>
  <c r="L829" i="3"/>
  <c r="AA830" i="3"/>
  <c r="Z830" i="3"/>
  <c r="AC830" i="3"/>
  <c r="AD830" i="3"/>
  <c r="P830" i="3"/>
  <c r="Q830" i="3" s="1"/>
  <c r="R830" i="3" s="1"/>
  <c r="S830" i="3" s="1"/>
  <c r="U829" i="3" l="1"/>
  <c r="Y828" i="3"/>
  <c r="T830" i="3"/>
  <c r="D830" i="3" l="1"/>
  <c r="G830" i="3" s="1"/>
  <c r="E830" i="3"/>
  <c r="H830" i="3" s="1"/>
  <c r="AG830" i="3"/>
  <c r="AH830" i="3"/>
  <c r="F830" i="3" l="1"/>
  <c r="I830" i="3"/>
  <c r="J830" i="3"/>
  <c r="M830" i="3"/>
  <c r="N830" i="3" s="1"/>
  <c r="K830" i="3"/>
  <c r="AE830" i="3" s="1"/>
  <c r="V830" i="3" l="1"/>
  <c r="W830" i="3" s="1"/>
  <c r="A831" i="3"/>
  <c r="B831" i="3" s="1"/>
  <c r="L830" i="3"/>
  <c r="U830" i="3" l="1"/>
  <c r="Y829" i="3"/>
  <c r="Z831" i="3"/>
  <c r="P831" i="3"/>
  <c r="Q831" i="3" s="1"/>
  <c r="R831" i="3" s="1"/>
  <c r="S831" i="3" s="1"/>
  <c r="AA831" i="3"/>
  <c r="AD831" i="3"/>
  <c r="AC831" i="3"/>
  <c r="T831" i="3" l="1"/>
  <c r="AH831" i="3" s="1"/>
  <c r="E831" i="3" l="1"/>
  <c r="H831" i="3" s="1"/>
  <c r="K831" i="3" s="1"/>
  <c r="AE831" i="3" s="1"/>
  <c r="D831" i="3"/>
  <c r="G831" i="3" s="1"/>
  <c r="AG831" i="3"/>
  <c r="F831" i="3" l="1"/>
  <c r="I831" i="3"/>
  <c r="J831" i="3"/>
  <c r="M831" i="3"/>
  <c r="N831" i="3" s="1"/>
  <c r="V831" i="3"/>
  <c r="A832" i="3"/>
  <c r="B832" i="3" s="1"/>
  <c r="W831" i="3" l="1"/>
  <c r="L831" i="3"/>
  <c r="P832" i="3"/>
  <c r="Q832" i="3" s="1"/>
  <c r="R832" i="3" s="1"/>
  <c r="S832" i="3" s="1"/>
  <c r="AC832" i="3"/>
  <c r="AD832" i="3"/>
  <c r="Z832" i="3"/>
  <c r="AA832" i="3"/>
  <c r="U831" i="3" l="1"/>
  <c r="Y830" i="3"/>
  <c r="T832" i="3"/>
  <c r="AH832" i="3" s="1"/>
  <c r="D832" i="3" l="1"/>
  <c r="G832" i="3" s="1"/>
  <c r="AG832" i="3"/>
  <c r="E832" i="3"/>
  <c r="H832" i="3" s="1"/>
  <c r="K832" i="3" l="1"/>
  <c r="AE832" i="3" s="1"/>
  <c r="I832" i="3"/>
  <c r="J832" i="3"/>
  <c r="M832" i="3"/>
  <c r="N832" i="3" s="1"/>
  <c r="F832" i="3"/>
  <c r="L832" i="3" l="1"/>
  <c r="V832" i="3"/>
  <c r="W832" i="3" s="1"/>
  <c r="A833" i="3"/>
  <c r="B833" i="3" s="1"/>
  <c r="U832" i="3" l="1"/>
  <c r="Y831" i="3"/>
  <c r="Z833" i="3"/>
  <c r="AC833" i="3"/>
  <c r="P833" i="3"/>
  <c r="Q833" i="3" s="1"/>
  <c r="R833" i="3" s="1"/>
  <c r="S833" i="3" s="1"/>
  <c r="AD833" i="3"/>
  <c r="AA833" i="3"/>
  <c r="T833" i="3" l="1"/>
  <c r="AH833" i="3" s="1"/>
  <c r="E833" i="3" l="1"/>
  <c r="H833" i="3" s="1"/>
  <c r="K833" i="3" s="1"/>
  <c r="AE833" i="3" s="1"/>
  <c r="AG833" i="3"/>
  <c r="D833" i="3"/>
  <c r="G833" i="3" s="1"/>
  <c r="F833" i="3" l="1"/>
  <c r="I833" i="3"/>
  <c r="J833" i="3"/>
  <c r="M833" i="3"/>
  <c r="N833" i="3" s="1"/>
  <c r="V833" i="3"/>
  <c r="A834" i="3"/>
  <c r="B834" i="3" s="1"/>
  <c r="L833" i="3" l="1"/>
  <c r="W833" i="3"/>
  <c r="AC834" i="3"/>
  <c r="P834" i="3"/>
  <c r="Q834" i="3" s="1"/>
  <c r="R834" i="3" s="1"/>
  <c r="S834" i="3" s="1"/>
  <c r="AA834" i="3"/>
  <c r="Z834" i="3"/>
  <c r="U833" i="3" l="1"/>
  <c r="Y832" i="3"/>
  <c r="T834" i="3"/>
  <c r="D834" i="3" l="1"/>
  <c r="G834" i="3" s="1"/>
  <c r="E834" i="3"/>
  <c r="H834" i="3" s="1"/>
  <c r="K834" i="3" s="1"/>
  <c r="AE834" i="3" s="1"/>
  <c r="AH834" i="3"/>
  <c r="AG834" i="3"/>
  <c r="F834" i="3" l="1"/>
  <c r="V834" i="3"/>
  <c r="A835" i="3"/>
  <c r="B835" i="3" s="1"/>
  <c r="I834" i="3"/>
  <c r="J834" i="3"/>
  <c r="AD834" i="3" s="1"/>
  <c r="M834" i="3"/>
  <c r="N834" i="3" s="1"/>
  <c r="W834" i="3" l="1"/>
  <c r="L834" i="3"/>
  <c r="Z835" i="3"/>
  <c r="P835" i="3"/>
  <c r="Q835" i="3" s="1"/>
  <c r="R835" i="3" s="1"/>
  <c r="S835" i="3" s="1"/>
  <c r="AD835" i="3"/>
  <c r="AC835" i="3"/>
  <c r="AA835" i="3"/>
  <c r="T835" i="3" l="1"/>
  <c r="U834" i="3"/>
  <c r="Y833" i="3"/>
  <c r="E835" i="3" l="1"/>
  <c r="H835" i="3" s="1"/>
  <c r="K835" i="3" s="1"/>
  <c r="AE835" i="3" s="1"/>
  <c r="AH835" i="3"/>
  <c r="AG835" i="3"/>
  <c r="D835" i="3"/>
  <c r="F835" i="3" l="1"/>
  <c r="G835" i="3"/>
  <c r="V835" i="3"/>
  <c r="A836" i="3"/>
  <c r="B836" i="3" s="1"/>
  <c r="I835" i="3" l="1"/>
  <c r="W835" i="3" s="1"/>
  <c r="J835" i="3"/>
  <c r="M835" i="3"/>
  <c r="N835" i="3" s="1"/>
  <c r="Z836" i="3"/>
  <c r="AA836" i="3"/>
  <c r="AC836" i="3"/>
  <c r="P836" i="3"/>
  <c r="Q836" i="3" s="1"/>
  <c r="R836" i="3" s="1"/>
  <c r="S836" i="3" s="1"/>
  <c r="AD836" i="3"/>
  <c r="T836" i="3" l="1"/>
  <c r="L835" i="3"/>
  <c r="AG836" i="3" l="1"/>
  <c r="U835" i="3"/>
  <c r="D836" i="3" s="1"/>
  <c r="AH836" i="3"/>
  <c r="Y834" i="3"/>
  <c r="E836" i="3" l="1"/>
  <c r="H836" i="3" s="1"/>
  <c r="K836" i="3" s="1"/>
  <c r="AE836" i="3" s="1"/>
  <c r="G836" i="3"/>
  <c r="F836" i="3" l="1"/>
  <c r="V836" i="3"/>
  <c r="A837" i="3"/>
  <c r="B837" i="3" s="1"/>
  <c r="I836" i="3"/>
  <c r="J836" i="3"/>
  <c r="M836" i="3"/>
  <c r="N836" i="3" s="1"/>
  <c r="L836" i="3" l="1"/>
  <c r="W836" i="3"/>
  <c r="P837" i="3"/>
  <c r="Q837" i="3" s="1"/>
  <c r="R837" i="3" s="1"/>
  <c r="S837" i="3" s="1"/>
  <c r="AD837" i="3"/>
  <c r="AA837" i="3"/>
  <c r="AC837" i="3"/>
  <c r="Z837" i="3"/>
  <c r="U836" i="3" l="1"/>
  <c r="Y835" i="3"/>
  <c r="T837" i="3"/>
  <c r="AH837" i="3" s="1"/>
  <c r="E837" i="3" l="1"/>
  <c r="H837" i="3" s="1"/>
  <c r="K837" i="3" s="1"/>
  <c r="AE837" i="3" s="1"/>
  <c r="D837" i="3"/>
  <c r="G837" i="3" s="1"/>
  <c r="AG837" i="3"/>
  <c r="F837" i="3" l="1"/>
  <c r="I837" i="3"/>
  <c r="J837" i="3"/>
  <c r="M837" i="3"/>
  <c r="N837" i="3" s="1"/>
  <c r="V837" i="3"/>
  <c r="A838" i="3"/>
  <c r="B838" i="3" s="1"/>
  <c r="W837" i="3" l="1"/>
  <c r="L837" i="3"/>
  <c r="P838" i="3"/>
  <c r="Q838" i="3" s="1"/>
  <c r="R838" i="3" s="1"/>
  <c r="S838" i="3" s="1"/>
  <c r="AA838" i="3"/>
  <c r="AC838" i="3"/>
  <c r="Z838" i="3"/>
  <c r="AD838" i="3"/>
  <c r="U837" i="3" l="1"/>
  <c r="Y836" i="3"/>
  <c r="T838" i="3"/>
  <c r="AH838" i="3" s="1"/>
  <c r="E838" i="3" l="1"/>
  <c r="H838" i="3" s="1"/>
  <c r="D838" i="3"/>
  <c r="AG838" i="3"/>
  <c r="K838" i="3" l="1"/>
  <c r="AE838" i="3" s="1"/>
  <c r="F838" i="3"/>
  <c r="G838" i="3"/>
  <c r="V838" i="3" l="1"/>
  <c r="A839" i="3"/>
  <c r="B839" i="3" s="1"/>
  <c r="I838" i="3"/>
  <c r="J838" i="3"/>
  <c r="M838" i="3"/>
  <c r="N838" i="3" s="1"/>
  <c r="W838" i="3" l="1"/>
  <c r="L838" i="3"/>
  <c r="AC839" i="3"/>
  <c r="Z839" i="3"/>
  <c r="AA839" i="3"/>
  <c r="P839" i="3"/>
  <c r="Q839" i="3" s="1"/>
  <c r="R839" i="3" s="1"/>
  <c r="S839" i="3" s="1"/>
  <c r="AD839" i="3"/>
  <c r="U838" i="3" l="1"/>
  <c r="Y837" i="3"/>
  <c r="T839" i="3"/>
  <c r="AG839" i="3" s="1"/>
  <c r="D839" i="3" l="1"/>
  <c r="E839" i="3"/>
  <c r="H839" i="3" s="1"/>
  <c r="AH839" i="3"/>
  <c r="F839" i="3" l="1"/>
  <c r="G839" i="3"/>
  <c r="K839" i="3"/>
  <c r="AE839" i="3" s="1"/>
  <c r="V839" i="3" l="1"/>
  <c r="A840" i="3"/>
  <c r="B840" i="3" s="1"/>
  <c r="I839" i="3"/>
  <c r="J839" i="3"/>
  <c r="M839" i="3"/>
  <c r="N839" i="3" s="1"/>
  <c r="W839" i="3" l="1"/>
  <c r="L839" i="3"/>
  <c r="AC840" i="3"/>
  <c r="P840" i="3"/>
  <c r="Q840" i="3" s="1"/>
  <c r="R840" i="3" s="1"/>
  <c r="S840" i="3" s="1"/>
  <c r="AA840" i="3"/>
  <c r="Z840" i="3"/>
  <c r="AD840" i="3"/>
  <c r="T840" i="3" l="1"/>
  <c r="U839" i="3"/>
  <c r="Y838" i="3"/>
  <c r="D840" i="3" l="1"/>
  <c r="G840" i="3" s="1"/>
  <c r="AG840" i="3"/>
  <c r="E840" i="3"/>
  <c r="H840" i="3" s="1"/>
  <c r="AH840" i="3"/>
  <c r="K840" i="3" l="1"/>
  <c r="AE840" i="3" s="1"/>
  <c r="I840" i="3"/>
  <c r="J840" i="3"/>
  <c r="M840" i="3"/>
  <c r="N840" i="3" s="1"/>
  <c r="F840" i="3"/>
  <c r="L840" i="3" l="1"/>
  <c r="V840" i="3"/>
  <c r="W840" i="3" s="1"/>
  <c r="A841" i="3"/>
  <c r="B841" i="3" s="1"/>
  <c r="U840" i="3" l="1"/>
  <c r="Y839" i="3"/>
  <c r="AA841" i="3"/>
  <c r="Z841" i="3"/>
  <c r="AD841" i="3"/>
  <c r="AC841" i="3"/>
  <c r="P841" i="3"/>
  <c r="Q841" i="3" s="1"/>
  <c r="R841" i="3" s="1"/>
  <c r="S841" i="3" s="1"/>
  <c r="T841" i="3" l="1"/>
  <c r="AH841" i="3" s="1"/>
  <c r="E841" i="3" l="1"/>
  <c r="H841" i="3" s="1"/>
  <c r="K841" i="3" s="1"/>
  <c r="AE841" i="3" s="1"/>
  <c r="AG841" i="3"/>
  <c r="D841" i="3"/>
  <c r="G841" i="3" s="1"/>
  <c r="F841" i="3" l="1"/>
  <c r="I841" i="3"/>
  <c r="J841" i="3"/>
  <c r="M841" i="3"/>
  <c r="N841" i="3" s="1"/>
  <c r="V841" i="3"/>
  <c r="A842" i="3"/>
  <c r="B842" i="3" s="1"/>
  <c r="W841" i="3" l="1"/>
  <c r="L841" i="3"/>
  <c r="P842" i="3"/>
  <c r="Q842" i="3" s="1"/>
  <c r="R842" i="3" s="1"/>
  <c r="S842" i="3" s="1"/>
  <c r="AD842" i="3"/>
  <c r="Z842" i="3"/>
  <c r="AC842" i="3"/>
  <c r="AA842" i="3"/>
  <c r="U841" i="3" l="1"/>
  <c r="Y840" i="3"/>
  <c r="T842" i="3"/>
  <c r="AG842" i="3" s="1"/>
  <c r="D842" i="3" l="1"/>
  <c r="G842" i="3" s="1"/>
  <c r="E842" i="3"/>
  <c r="H842" i="3" s="1"/>
  <c r="K842" i="3" s="1"/>
  <c r="AE842" i="3" s="1"/>
  <c r="AH842" i="3"/>
  <c r="F842" i="3" l="1"/>
  <c r="V842" i="3"/>
  <c r="A843" i="3"/>
  <c r="B843" i="3" s="1"/>
  <c r="I842" i="3"/>
  <c r="J842" i="3"/>
  <c r="M842" i="3"/>
  <c r="N842" i="3" s="1"/>
  <c r="W842" i="3" l="1"/>
  <c r="L842" i="3"/>
  <c r="AC843" i="3"/>
  <c r="AD843" i="3"/>
  <c r="AA843" i="3"/>
  <c r="Z843" i="3"/>
  <c r="P843" i="3"/>
  <c r="Q843" i="3" s="1"/>
  <c r="R843" i="3" s="1"/>
  <c r="S843" i="3" s="1"/>
  <c r="U842" i="3" l="1"/>
  <c r="Y841" i="3"/>
  <c r="T843" i="3"/>
  <c r="AG843" i="3" s="1"/>
  <c r="D843" i="3" l="1"/>
  <c r="E843" i="3"/>
  <c r="H843" i="3" s="1"/>
  <c r="AH843" i="3"/>
  <c r="F843" i="3" l="1"/>
  <c r="G843" i="3"/>
  <c r="K843" i="3"/>
  <c r="AE843" i="3" s="1"/>
  <c r="V843" i="3" l="1"/>
  <c r="A844" i="3"/>
  <c r="B844" i="3" s="1"/>
  <c r="I843" i="3"/>
  <c r="J843" i="3"/>
  <c r="M843" i="3"/>
  <c r="N843" i="3" s="1"/>
  <c r="W843" i="3" l="1"/>
  <c r="L843" i="3"/>
  <c r="AC844" i="3"/>
  <c r="P844" i="3"/>
  <c r="Q844" i="3" s="1"/>
  <c r="R844" i="3" s="1"/>
  <c r="S844" i="3" s="1"/>
  <c r="Z844" i="3"/>
  <c r="AA844" i="3"/>
  <c r="U843" i="3" l="1"/>
  <c r="Y842" i="3"/>
  <c r="T844" i="3"/>
  <c r="AH844" i="3" s="1"/>
  <c r="AG844" i="3" l="1"/>
  <c r="E844" i="3"/>
  <c r="H844" i="3" s="1"/>
  <c r="K844" i="3" s="1"/>
  <c r="AE844" i="3" s="1"/>
  <c r="D844" i="3"/>
  <c r="V844" i="3" l="1"/>
  <c r="A845" i="3"/>
  <c r="B845" i="3" s="1"/>
  <c r="F844" i="3"/>
  <c r="G844" i="3"/>
  <c r="I844" i="3" l="1"/>
  <c r="W844" i="3" s="1"/>
  <c r="J844" i="3"/>
  <c r="AD844" i="3" s="1"/>
  <c r="M844" i="3"/>
  <c r="N844" i="3" s="1"/>
  <c r="AD845" i="3"/>
  <c r="AC845" i="3"/>
  <c r="P845" i="3"/>
  <c r="Q845" i="3" s="1"/>
  <c r="R845" i="3" s="1"/>
  <c r="S845" i="3" s="1"/>
  <c r="Z845" i="3"/>
  <c r="AA845" i="3"/>
  <c r="T845" i="3" l="1"/>
  <c r="L844" i="3"/>
  <c r="AH845" i="3" l="1"/>
  <c r="U844" i="3"/>
  <c r="D845" i="3" s="1"/>
  <c r="AG845" i="3"/>
  <c r="Y843" i="3"/>
  <c r="E845" i="3" l="1"/>
  <c r="H845" i="3" s="1"/>
  <c r="K845" i="3" s="1"/>
  <c r="AE845" i="3" s="1"/>
  <c r="G845" i="3"/>
  <c r="F845" i="3" l="1"/>
  <c r="I845" i="3"/>
  <c r="J845" i="3"/>
  <c r="M845" i="3"/>
  <c r="N845" i="3" s="1"/>
  <c r="V845" i="3"/>
  <c r="A846" i="3"/>
  <c r="B846" i="3" s="1"/>
  <c r="W845" i="3" l="1"/>
  <c r="L845" i="3"/>
  <c r="P846" i="3"/>
  <c r="Q846" i="3" s="1"/>
  <c r="R846" i="3" s="1"/>
  <c r="S846" i="3" s="1"/>
  <c r="AD846" i="3"/>
  <c r="AC846" i="3"/>
  <c r="Z846" i="3"/>
  <c r="AA846" i="3"/>
  <c r="U845" i="3" l="1"/>
  <c r="Y844" i="3"/>
  <c r="T846" i="3"/>
  <c r="AH846" i="3" s="1"/>
  <c r="D846" i="3" l="1"/>
  <c r="G846" i="3" s="1"/>
  <c r="E846" i="3"/>
  <c r="H846" i="3" s="1"/>
  <c r="K846" i="3" s="1"/>
  <c r="AE846" i="3" s="1"/>
  <c r="AG846" i="3"/>
  <c r="F846" i="3" l="1"/>
  <c r="I846" i="3"/>
  <c r="J846" i="3"/>
  <c r="M846" i="3"/>
  <c r="N846" i="3" s="1"/>
  <c r="V846" i="3"/>
  <c r="A847" i="3"/>
  <c r="B847" i="3" s="1"/>
  <c r="W846" i="3" l="1"/>
  <c r="L846" i="3"/>
  <c r="AC847" i="3"/>
  <c r="P847" i="3"/>
  <c r="Q847" i="3" s="1"/>
  <c r="R847" i="3" s="1"/>
  <c r="S847" i="3" s="1"/>
  <c r="AD847" i="3"/>
  <c r="AA847" i="3"/>
  <c r="Z847" i="3"/>
  <c r="U846" i="3" l="1"/>
  <c r="Y845" i="3"/>
  <c r="T847" i="3"/>
  <c r="D847" i="3" l="1"/>
  <c r="G847" i="3" s="1"/>
  <c r="E847" i="3"/>
  <c r="H847" i="3" s="1"/>
  <c r="K847" i="3" s="1"/>
  <c r="AE847" i="3" s="1"/>
  <c r="AH847" i="3"/>
  <c r="AG847" i="3"/>
  <c r="F847" i="3" l="1"/>
  <c r="I847" i="3"/>
  <c r="J847" i="3"/>
  <c r="M847" i="3"/>
  <c r="N847" i="3" s="1"/>
  <c r="V847" i="3"/>
  <c r="A848" i="3"/>
  <c r="B848" i="3" s="1"/>
  <c r="W847" i="3" l="1"/>
  <c r="L847" i="3"/>
  <c r="AA848" i="3"/>
  <c r="AD848" i="3"/>
  <c r="P848" i="3"/>
  <c r="Q848" i="3" s="1"/>
  <c r="R848" i="3" s="1"/>
  <c r="S848" i="3" s="1"/>
  <c r="Z848" i="3"/>
  <c r="AC848" i="3"/>
  <c r="U847" i="3" l="1"/>
  <c r="Y846" i="3"/>
  <c r="T848" i="3"/>
  <c r="AG848" i="3" s="1"/>
  <c r="D848" i="3" l="1"/>
  <c r="AH848" i="3"/>
  <c r="E848" i="3"/>
  <c r="H848" i="3" s="1"/>
  <c r="F848" i="3" l="1"/>
  <c r="G848" i="3"/>
  <c r="K848" i="3"/>
  <c r="AE848" i="3" s="1"/>
  <c r="V848" i="3" l="1"/>
  <c r="A849" i="3"/>
  <c r="B849" i="3" s="1"/>
  <c r="I848" i="3"/>
  <c r="J848" i="3"/>
  <c r="M848" i="3"/>
  <c r="N848" i="3" s="1"/>
  <c r="W848" i="3" l="1"/>
  <c r="L848" i="3"/>
  <c r="P849" i="3"/>
  <c r="Q849" i="3" s="1"/>
  <c r="R849" i="3" s="1"/>
  <c r="S849" i="3" s="1"/>
  <c r="AC849" i="3"/>
  <c r="Z849" i="3"/>
  <c r="AD849" i="3"/>
  <c r="AA849" i="3"/>
  <c r="U848" i="3" l="1"/>
  <c r="Y847" i="3"/>
  <c r="T849" i="3"/>
  <c r="AG849" i="3" s="1"/>
  <c r="E849" i="3" l="1"/>
  <c r="H849" i="3" s="1"/>
  <c r="K849" i="3" s="1"/>
  <c r="AE849" i="3" s="1"/>
  <c r="D849" i="3"/>
  <c r="G849" i="3" s="1"/>
  <c r="AH849" i="3"/>
  <c r="F849" i="3" l="1"/>
  <c r="V849" i="3"/>
  <c r="A850" i="3"/>
  <c r="B850" i="3" s="1"/>
  <c r="I849" i="3"/>
  <c r="J849" i="3"/>
  <c r="M849" i="3"/>
  <c r="N849" i="3" s="1"/>
  <c r="W849" i="3" l="1"/>
  <c r="L849" i="3"/>
  <c r="AA850" i="3"/>
  <c r="AC850" i="3"/>
  <c r="P850" i="3"/>
  <c r="Q850" i="3" s="1"/>
  <c r="R850" i="3" s="1"/>
  <c r="S850" i="3" s="1"/>
  <c r="AD850" i="3"/>
  <c r="Z850" i="3"/>
  <c r="T850" i="3" l="1"/>
  <c r="AG850" i="3" s="1"/>
  <c r="U849" i="3"/>
  <c r="Y848" i="3"/>
  <c r="E850" i="3" l="1"/>
  <c r="H850" i="3" s="1"/>
  <c r="D850" i="3"/>
  <c r="AH850" i="3"/>
  <c r="K850" i="3" l="1"/>
  <c r="AE850" i="3" s="1"/>
  <c r="F850" i="3"/>
  <c r="G850" i="3"/>
  <c r="I850" i="3" l="1"/>
  <c r="J850" i="3"/>
  <c r="M850" i="3"/>
  <c r="N850" i="3" s="1"/>
  <c r="V850" i="3"/>
  <c r="A851" i="3"/>
  <c r="B851" i="3" s="1"/>
  <c r="W850" i="3" l="1"/>
  <c r="L850" i="3"/>
  <c r="P851" i="3"/>
  <c r="Q851" i="3" s="1"/>
  <c r="R851" i="3" s="1"/>
  <c r="S851" i="3" s="1"/>
  <c r="AA851" i="3"/>
  <c r="AC851" i="3"/>
  <c r="AD851" i="3"/>
  <c r="Z851" i="3"/>
  <c r="U850" i="3" l="1"/>
  <c r="Y849" i="3"/>
  <c r="T851" i="3"/>
  <c r="AH851" i="3" s="1"/>
  <c r="E851" i="3" l="1"/>
  <c r="H851" i="3" s="1"/>
  <c r="K851" i="3" s="1"/>
  <c r="AE851" i="3" s="1"/>
  <c r="AG851" i="3"/>
  <c r="D851" i="3"/>
  <c r="F851" i="3" l="1"/>
  <c r="G851" i="3"/>
  <c r="M851" i="3" s="1"/>
  <c r="N851" i="3" s="1"/>
  <c r="V851" i="3"/>
  <c r="A852" i="3"/>
  <c r="B852" i="3" s="1"/>
  <c r="I851" i="3" l="1"/>
  <c r="W851" i="3" s="1"/>
  <c r="J851" i="3"/>
  <c r="L851" i="3" s="1"/>
  <c r="AC852" i="3"/>
  <c r="AA852" i="3"/>
  <c r="AD852" i="3"/>
  <c r="P852" i="3"/>
  <c r="Q852" i="3" s="1"/>
  <c r="R852" i="3" s="1"/>
  <c r="S852" i="3" s="1"/>
  <c r="Z852" i="3"/>
  <c r="T852" i="3" l="1"/>
  <c r="U851" i="3"/>
  <c r="Y850" i="3"/>
  <c r="D852" i="3" l="1"/>
  <c r="G852" i="3" s="1"/>
  <c r="AH852" i="3"/>
  <c r="E852" i="3"/>
  <c r="H852" i="3" s="1"/>
  <c r="AG852" i="3"/>
  <c r="F852" i="3" l="1"/>
  <c r="I852" i="3"/>
  <c r="J852" i="3"/>
  <c r="M852" i="3"/>
  <c r="N852" i="3" s="1"/>
  <c r="K852" i="3"/>
  <c r="AE852" i="3" s="1"/>
  <c r="L852" i="3" l="1"/>
  <c r="V852" i="3"/>
  <c r="W852" i="3" s="1"/>
  <c r="A853" i="3"/>
  <c r="B853" i="3" s="1"/>
  <c r="U852" i="3" l="1"/>
  <c r="Y851" i="3"/>
  <c r="AD853" i="3"/>
  <c r="AC853" i="3"/>
  <c r="P853" i="3"/>
  <c r="Q853" i="3" s="1"/>
  <c r="R853" i="3" s="1"/>
  <c r="S853" i="3" s="1"/>
  <c r="Z853" i="3"/>
  <c r="AA853" i="3"/>
  <c r="T853" i="3" l="1"/>
  <c r="AG853" i="3" s="1"/>
  <c r="E853" i="3" l="1"/>
  <c r="H853" i="3" s="1"/>
  <c r="AH853" i="3"/>
  <c r="D853" i="3"/>
  <c r="K853" i="3" l="1"/>
  <c r="AE853" i="3" s="1"/>
  <c r="F853" i="3"/>
  <c r="G853" i="3"/>
  <c r="I853" i="3" l="1"/>
  <c r="J853" i="3"/>
  <c r="M853" i="3"/>
  <c r="N853" i="3" s="1"/>
  <c r="V853" i="3"/>
  <c r="A854" i="3"/>
  <c r="B854" i="3" s="1"/>
  <c r="W853" i="3" l="1"/>
  <c r="L853" i="3"/>
  <c r="Z854" i="3"/>
  <c r="P854" i="3"/>
  <c r="Q854" i="3" s="1"/>
  <c r="R854" i="3" s="1"/>
  <c r="S854" i="3" s="1"/>
  <c r="AC854" i="3"/>
  <c r="AA854" i="3"/>
  <c r="U853" i="3" l="1"/>
  <c r="Y852" i="3"/>
  <c r="T854" i="3"/>
  <c r="AG854" i="3" s="1"/>
  <c r="E854" i="3" l="1"/>
  <c r="H854" i="3" s="1"/>
  <c r="K854" i="3" s="1"/>
  <c r="AE854" i="3" s="1"/>
  <c r="AH854" i="3"/>
  <c r="D854" i="3"/>
  <c r="G854" i="3" s="1"/>
  <c r="F854" i="3" l="1"/>
  <c r="I854" i="3"/>
  <c r="J854" i="3"/>
  <c r="AD854" i="3" s="1"/>
  <c r="M854" i="3"/>
  <c r="N854" i="3" s="1"/>
  <c r="V854" i="3"/>
  <c r="A855" i="3"/>
  <c r="B855" i="3" s="1"/>
  <c r="W854" i="3" l="1"/>
  <c r="L854" i="3"/>
  <c r="Z855" i="3"/>
  <c r="P855" i="3"/>
  <c r="Q855" i="3" s="1"/>
  <c r="R855" i="3" s="1"/>
  <c r="S855" i="3" s="1"/>
  <c r="AA855" i="3"/>
  <c r="AC855" i="3"/>
  <c r="AD855" i="3"/>
  <c r="T855" i="3" l="1"/>
  <c r="AG855" i="3" s="1"/>
  <c r="U854" i="3"/>
  <c r="Y853" i="3"/>
  <c r="E855" i="3" l="1"/>
  <c r="H855" i="3" s="1"/>
  <c r="K855" i="3" s="1"/>
  <c r="AE855" i="3" s="1"/>
  <c r="D855" i="3"/>
  <c r="AH855" i="3"/>
  <c r="F855" i="3" l="1"/>
  <c r="G855" i="3"/>
  <c r="V855" i="3"/>
  <c r="A856" i="3"/>
  <c r="B856" i="3" s="1"/>
  <c r="AA856" i="3" l="1"/>
  <c r="P856" i="3"/>
  <c r="Q856" i="3" s="1"/>
  <c r="R856" i="3" s="1"/>
  <c r="S856" i="3" s="1"/>
  <c r="Z856" i="3"/>
  <c r="AD856" i="3"/>
  <c r="AC856" i="3"/>
  <c r="I855" i="3"/>
  <c r="W855" i="3" s="1"/>
  <c r="J855" i="3"/>
  <c r="M855" i="3"/>
  <c r="N855" i="3" s="1"/>
  <c r="L855" i="3" l="1"/>
  <c r="T856" i="3"/>
  <c r="U855" i="3" l="1"/>
  <c r="D856" i="3" s="1"/>
  <c r="AH856" i="3"/>
  <c r="AG856" i="3"/>
  <c r="Y854" i="3"/>
  <c r="G856" i="3" l="1"/>
  <c r="E856" i="3"/>
  <c r="H856" i="3" s="1"/>
  <c r="F856" i="3" l="1"/>
  <c r="K856" i="3"/>
  <c r="AE856" i="3" s="1"/>
  <c r="I856" i="3"/>
  <c r="J856" i="3"/>
  <c r="M856" i="3"/>
  <c r="N856" i="3" s="1"/>
  <c r="L856" i="3" l="1"/>
  <c r="V856" i="3"/>
  <c r="W856" i="3" s="1"/>
  <c r="A857" i="3"/>
  <c r="B857" i="3" s="1"/>
  <c r="Z857" i="3" l="1"/>
  <c r="AC857" i="3"/>
  <c r="AD857" i="3"/>
  <c r="AA857" i="3"/>
  <c r="P857" i="3"/>
  <c r="Q857" i="3" s="1"/>
  <c r="R857" i="3" s="1"/>
  <c r="S857" i="3" s="1"/>
  <c r="U856" i="3"/>
  <c r="Y855" i="3"/>
  <c r="T857" i="3" l="1"/>
  <c r="E857" i="3" l="1"/>
  <c r="H857" i="3" s="1"/>
  <c r="AG857" i="3"/>
  <c r="D857" i="3"/>
  <c r="AH857" i="3"/>
  <c r="K857" i="3" l="1"/>
  <c r="AE857" i="3" s="1"/>
  <c r="F857" i="3"/>
  <c r="G857" i="3"/>
  <c r="I857" i="3" l="1"/>
  <c r="J857" i="3"/>
  <c r="M857" i="3"/>
  <c r="N857" i="3" s="1"/>
  <c r="V857" i="3"/>
  <c r="A858" i="3"/>
  <c r="B858" i="3" s="1"/>
  <c r="W857" i="3" l="1"/>
  <c r="L857" i="3"/>
  <c r="AA858" i="3"/>
  <c r="AD858" i="3"/>
  <c r="Z858" i="3"/>
  <c r="P858" i="3"/>
  <c r="Q858" i="3" s="1"/>
  <c r="R858" i="3" s="1"/>
  <c r="S858" i="3" s="1"/>
  <c r="AC858" i="3"/>
  <c r="U857" i="3" l="1"/>
  <c r="Y856" i="3"/>
  <c r="T858" i="3"/>
  <c r="D858" i="3" l="1"/>
  <c r="G858" i="3" s="1"/>
  <c r="E858" i="3"/>
  <c r="H858" i="3" s="1"/>
  <c r="K858" i="3" s="1"/>
  <c r="AE858" i="3" s="1"/>
  <c r="AG858" i="3"/>
  <c r="AH858" i="3"/>
  <c r="F858" i="3" l="1"/>
  <c r="V858" i="3"/>
  <c r="A859" i="3"/>
  <c r="B859" i="3" s="1"/>
  <c r="I858" i="3"/>
  <c r="J858" i="3"/>
  <c r="M858" i="3"/>
  <c r="N858" i="3" s="1"/>
  <c r="W858" i="3" l="1"/>
  <c r="L858" i="3"/>
  <c r="AC859" i="3"/>
  <c r="P859" i="3"/>
  <c r="Q859" i="3" s="1"/>
  <c r="R859" i="3" s="1"/>
  <c r="S859" i="3" s="1"/>
  <c r="AA859" i="3"/>
  <c r="Z859" i="3"/>
  <c r="AD859" i="3"/>
  <c r="U858" i="3" l="1"/>
  <c r="Y857" i="3"/>
  <c r="T859" i="3"/>
  <c r="D859" i="3" l="1"/>
  <c r="G859" i="3" s="1"/>
  <c r="AH859" i="3"/>
  <c r="AG859" i="3"/>
  <c r="E859" i="3"/>
  <c r="H859" i="3" s="1"/>
  <c r="K859" i="3" s="1"/>
  <c r="AE859" i="3" s="1"/>
  <c r="F859" i="3" l="1"/>
  <c r="I859" i="3"/>
  <c r="J859" i="3"/>
  <c r="M859" i="3"/>
  <c r="N859" i="3" s="1"/>
  <c r="V859" i="3"/>
  <c r="A860" i="3"/>
  <c r="B860" i="3" s="1"/>
  <c r="W859" i="3" l="1"/>
  <c r="AC860" i="3"/>
  <c r="AD860" i="3"/>
  <c r="Z860" i="3"/>
  <c r="AA860" i="3"/>
  <c r="P860" i="3"/>
  <c r="Q860" i="3" s="1"/>
  <c r="R860" i="3" s="1"/>
  <c r="S860" i="3" s="1"/>
  <c r="L859" i="3"/>
  <c r="T860" i="3" l="1"/>
  <c r="U859" i="3"/>
  <c r="Y858" i="3"/>
  <c r="D860" i="3" l="1"/>
  <c r="G860" i="3" s="1"/>
  <c r="AG860" i="3"/>
  <c r="AH860" i="3"/>
  <c r="E860" i="3"/>
  <c r="H860" i="3" s="1"/>
  <c r="I860" i="3" l="1"/>
  <c r="J860" i="3"/>
  <c r="M860" i="3"/>
  <c r="N860" i="3" s="1"/>
  <c r="K860" i="3"/>
  <c r="AE860" i="3" s="1"/>
  <c r="F860" i="3"/>
  <c r="L860" i="3" l="1"/>
  <c r="V860" i="3"/>
  <c r="W860" i="3" s="1"/>
  <c r="A861" i="3"/>
  <c r="B861" i="3" s="1"/>
  <c r="U860" i="3" l="1"/>
  <c r="Y859" i="3"/>
  <c r="Z861" i="3"/>
  <c r="AD861" i="3"/>
  <c r="P861" i="3"/>
  <c r="Q861" i="3" s="1"/>
  <c r="R861" i="3" s="1"/>
  <c r="S861" i="3" s="1"/>
  <c r="AC861" i="3"/>
  <c r="AA861" i="3"/>
  <c r="T861" i="3" l="1"/>
  <c r="E861" i="3" s="1"/>
  <c r="H861" i="3" s="1"/>
  <c r="K861" i="3" l="1"/>
  <c r="AE861" i="3" s="1"/>
  <c r="D861" i="3"/>
  <c r="AH861" i="3"/>
  <c r="AG861" i="3"/>
  <c r="F861" i="3" l="1"/>
  <c r="G861" i="3"/>
  <c r="V861" i="3"/>
  <c r="A862" i="3"/>
  <c r="B862" i="3" s="1"/>
  <c r="AD862" i="3" l="1"/>
  <c r="Z862" i="3"/>
  <c r="P862" i="3"/>
  <c r="Q862" i="3" s="1"/>
  <c r="R862" i="3" s="1"/>
  <c r="S862" i="3" s="1"/>
  <c r="AC862" i="3"/>
  <c r="AA862" i="3"/>
  <c r="I861" i="3"/>
  <c r="W861" i="3" s="1"/>
  <c r="J861" i="3"/>
  <c r="M861" i="3"/>
  <c r="N861" i="3" s="1"/>
  <c r="T862" i="3" l="1"/>
  <c r="L861" i="3"/>
  <c r="AH862" i="3" l="1"/>
  <c r="U861" i="3"/>
  <c r="D862" i="3" s="1"/>
  <c r="AG862" i="3"/>
  <c r="Y860" i="3"/>
  <c r="E862" i="3" l="1"/>
  <c r="H862" i="3" s="1"/>
  <c r="K862" i="3" s="1"/>
  <c r="AE862" i="3" s="1"/>
  <c r="G862" i="3"/>
  <c r="F862" i="3" l="1"/>
  <c r="I862" i="3"/>
  <c r="J862" i="3"/>
  <c r="M862" i="3"/>
  <c r="N862" i="3" s="1"/>
  <c r="V862" i="3"/>
  <c r="A863" i="3"/>
  <c r="B863" i="3" s="1"/>
  <c r="W862" i="3" l="1"/>
  <c r="L862" i="3"/>
  <c r="AA863" i="3"/>
  <c r="Z863" i="3"/>
  <c r="P863" i="3"/>
  <c r="Q863" i="3" s="1"/>
  <c r="R863" i="3" s="1"/>
  <c r="S863" i="3" s="1"/>
  <c r="AD863" i="3"/>
  <c r="AC863" i="3"/>
  <c r="T863" i="3" l="1"/>
  <c r="U862" i="3"/>
  <c r="Y861" i="3"/>
  <c r="E863" i="3" l="1"/>
  <c r="H863" i="3" s="1"/>
  <c r="K863" i="3" s="1"/>
  <c r="AE863" i="3" s="1"/>
  <c r="D863" i="3"/>
  <c r="G863" i="3" s="1"/>
  <c r="AH863" i="3"/>
  <c r="AG863" i="3"/>
  <c r="F863" i="3" l="1"/>
  <c r="I863" i="3"/>
  <c r="J863" i="3"/>
  <c r="M863" i="3"/>
  <c r="N863" i="3" s="1"/>
  <c r="V863" i="3"/>
  <c r="A864" i="3"/>
  <c r="B864" i="3" s="1"/>
  <c r="W863" i="3" l="1"/>
  <c r="L863" i="3"/>
  <c r="AC864" i="3"/>
  <c r="Z864" i="3"/>
  <c r="AA864" i="3"/>
  <c r="P864" i="3"/>
  <c r="Q864" i="3" s="1"/>
  <c r="R864" i="3" s="1"/>
  <c r="S864" i="3" s="1"/>
  <c r="U863" i="3" l="1"/>
  <c r="Y862" i="3"/>
  <c r="T864" i="3"/>
  <c r="AH864" i="3" s="1"/>
  <c r="E864" i="3" l="1"/>
  <c r="H864" i="3" s="1"/>
  <c r="D864" i="3"/>
  <c r="AG864" i="3"/>
  <c r="K864" i="3" l="1"/>
  <c r="AE864" i="3" s="1"/>
  <c r="F864" i="3"/>
  <c r="G864" i="3"/>
  <c r="I864" i="3" l="1"/>
  <c r="J864" i="3"/>
  <c r="AD864" i="3" s="1"/>
  <c r="M864" i="3"/>
  <c r="N864" i="3" s="1"/>
  <c r="V864" i="3"/>
  <c r="A865" i="3"/>
  <c r="B865" i="3" s="1"/>
  <c r="W864" i="3" l="1"/>
  <c r="L864" i="3"/>
  <c r="AD865" i="3"/>
  <c r="P865" i="3"/>
  <c r="Q865" i="3" s="1"/>
  <c r="R865" i="3" s="1"/>
  <c r="S865" i="3" s="1"/>
  <c r="AC865" i="3"/>
  <c r="Z865" i="3"/>
  <c r="AA865" i="3"/>
  <c r="U864" i="3" l="1"/>
  <c r="Y863" i="3"/>
  <c r="T865" i="3"/>
  <c r="AG865" i="3" s="1"/>
  <c r="E865" i="3" l="1"/>
  <c r="H865" i="3" s="1"/>
  <c r="K865" i="3" s="1"/>
  <c r="AE865" i="3" s="1"/>
  <c r="D865" i="3"/>
  <c r="G865" i="3" s="1"/>
  <c r="AH865" i="3"/>
  <c r="F865" i="3" l="1"/>
  <c r="V865" i="3"/>
  <c r="A866" i="3"/>
  <c r="B866" i="3" s="1"/>
  <c r="I865" i="3"/>
  <c r="J865" i="3"/>
  <c r="M865" i="3"/>
  <c r="N865" i="3" s="1"/>
  <c r="W865" i="3" l="1"/>
  <c r="L865" i="3"/>
  <c r="P866" i="3"/>
  <c r="Q866" i="3" s="1"/>
  <c r="R866" i="3" s="1"/>
  <c r="S866" i="3" s="1"/>
  <c r="AA866" i="3"/>
  <c r="Z866" i="3"/>
  <c r="AC866" i="3"/>
  <c r="AD866" i="3"/>
  <c r="T866" i="3" l="1"/>
  <c r="U865" i="3"/>
  <c r="Y864" i="3"/>
  <c r="D866" i="3" l="1"/>
  <c r="G866" i="3" s="1"/>
  <c r="AG866" i="3"/>
  <c r="AH866" i="3"/>
  <c r="E866" i="3"/>
  <c r="H866" i="3" s="1"/>
  <c r="F866" i="3" l="1"/>
  <c r="K866" i="3"/>
  <c r="AE866" i="3" s="1"/>
  <c r="I866" i="3"/>
  <c r="J866" i="3"/>
  <c r="M866" i="3"/>
  <c r="N866" i="3" s="1"/>
  <c r="L866" i="3" l="1"/>
  <c r="V866" i="3"/>
  <c r="W866" i="3" s="1"/>
  <c r="A867" i="3"/>
  <c r="B867" i="3" s="1"/>
  <c r="Z867" i="3" l="1"/>
  <c r="AA867" i="3"/>
  <c r="P867" i="3"/>
  <c r="Q867" i="3" s="1"/>
  <c r="R867" i="3" s="1"/>
  <c r="S867" i="3" s="1"/>
  <c r="AC867" i="3"/>
  <c r="AD867" i="3"/>
  <c r="U866" i="3"/>
  <c r="Y865" i="3"/>
  <c r="T867" i="3" l="1"/>
  <c r="D867" i="3" s="1"/>
  <c r="AG867" i="3" l="1"/>
  <c r="E867" i="3"/>
  <c r="H867" i="3" s="1"/>
  <c r="K867" i="3" s="1"/>
  <c r="AE867" i="3" s="1"/>
  <c r="AH867" i="3"/>
  <c r="G867" i="3"/>
  <c r="F867" i="3" l="1"/>
  <c r="I867" i="3"/>
  <c r="J867" i="3"/>
  <c r="M867" i="3"/>
  <c r="N867" i="3" s="1"/>
  <c r="V867" i="3"/>
  <c r="A868" i="3"/>
  <c r="B868" i="3" s="1"/>
  <c r="W867" i="3" l="1"/>
  <c r="L867" i="3"/>
  <c r="AD868" i="3"/>
  <c r="Z868" i="3"/>
  <c r="AA868" i="3"/>
  <c r="AC868" i="3"/>
  <c r="P868" i="3"/>
  <c r="Q868" i="3" s="1"/>
  <c r="R868" i="3" s="1"/>
  <c r="S868" i="3" s="1"/>
  <c r="T868" i="3" l="1"/>
  <c r="U867" i="3"/>
  <c r="Y866" i="3"/>
  <c r="E868" i="3" l="1"/>
  <c r="H868" i="3" s="1"/>
  <c r="K868" i="3" s="1"/>
  <c r="AE868" i="3" s="1"/>
  <c r="AH868" i="3"/>
  <c r="D868" i="3"/>
  <c r="G868" i="3" s="1"/>
  <c r="AG868" i="3"/>
  <c r="F868" i="3" l="1"/>
  <c r="I868" i="3"/>
  <c r="J868" i="3"/>
  <c r="M868" i="3"/>
  <c r="N868" i="3" s="1"/>
  <c r="V868" i="3"/>
  <c r="A869" i="3"/>
  <c r="B869" i="3" s="1"/>
  <c r="W868" i="3" l="1"/>
  <c r="L868" i="3"/>
  <c r="P869" i="3"/>
  <c r="Q869" i="3" s="1"/>
  <c r="R869" i="3" s="1"/>
  <c r="S869" i="3" s="1"/>
  <c r="Z869" i="3"/>
  <c r="AC869" i="3"/>
  <c r="AA869" i="3"/>
  <c r="AD869" i="3"/>
  <c r="T869" i="3" l="1"/>
  <c r="U868" i="3"/>
  <c r="Y867" i="3"/>
  <c r="E869" i="3" l="1"/>
  <c r="H869" i="3" s="1"/>
  <c r="K869" i="3" s="1"/>
  <c r="AE869" i="3" s="1"/>
  <c r="AG869" i="3"/>
  <c r="D869" i="3"/>
  <c r="AH869" i="3"/>
  <c r="V869" i="3" l="1"/>
  <c r="A870" i="3"/>
  <c r="B870" i="3" s="1"/>
  <c r="F869" i="3"/>
  <c r="G869" i="3"/>
  <c r="I869" i="3" l="1"/>
  <c r="W869" i="3" s="1"/>
  <c r="J869" i="3"/>
  <c r="M869" i="3"/>
  <c r="N869" i="3" s="1"/>
  <c r="AD870" i="3"/>
  <c r="Z870" i="3"/>
  <c r="AA870" i="3"/>
  <c r="P870" i="3"/>
  <c r="Q870" i="3" s="1"/>
  <c r="R870" i="3" s="1"/>
  <c r="S870" i="3" s="1"/>
  <c r="AC870" i="3"/>
  <c r="L869" i="3" l="1"/>
  <c r="T870" i="3"/>
  <c r="U869" i="3" l="1"/>
  <c r="E870" i="3" s="1"/>
  <c r="H870" i="3" s="1"/>
  <c r="AH870" i="3"/>
  <c r="AG870" i="3"/>
  <c r="Y868" i="3"/>
  <c r="D870" i="3" l="1"/>
  <c r="G870" i="3" s="1"/>
  <c r="K870" i="3"/>
  <c r="AE870" i="3" s="1"/>
  <c r="F870" i="3" l="1"/>
  <c r="V870" i="3"/>
  <c r="A871" i="3"/>
  <c r="B871" i="3" s="1"/>
  <c r="I870" i="3"/>
  <c r="J870" i="3"/>
  <c r="M870" i="3"/>
  <c r="N870" i="3" s="1"/>
  <c r="W870" i="3" l="1"/>
  <c r="L870" i="3"/>
  <c r="Z871" i="3"/>
  <c r="P871" i="3"/>
  <c r="Q871" i="3" s="1"/>
  <c r="R871" i="3" s="1"/>
  <c r="S871" i="3" s="1"/>
  <c r="AD871" i="3"/>
  <c r="AA871" i="3"/>
  <c r="AC871" i="3"/>
  <c r="T871" i="3" l="1"/>
  <c r="AH871" i="3" s="1"/>
  <c r="U870" i="3"/>
  <c r="Y869" i="3"/>
  <c r="E871" i="3" l="1"/>
  <c r="H871" i="3" s="1"/>
  <c r="K871" i="3" s="1"/>
  <c r="AE871" i="3" s="1"/>
  <c r="AG871" i="3"/>
  <c r="D871" i="3"/>
  <c r="F871" i="3" l="1"/>
  <c r="G871" i="3"/>
  <c r="V871" i="3"/>
  <c r="A872" i="3"/>
  <c r="B872" i="3" s="1"/>
  <c r="AC872" i="3" l="1"/>
  <c r="AA872" i="3"/>
  <c r="P872" i="3"/>
  <c r="Q872" i="3" s="1"/>
  <c r="R872" i="3" s="1"/>
  <c r="S872" i="3" s="1"/>
  <c r="Z872" i="3"/>
  <c r="AD872" i="3"/>
  <c r="I871" i="3"/>
  <c r="W871" i="3" s="1"/>
  <c r="J871" i="3"/>
  <c r="M871" i="3"/>
  <c r="N871" i="3" s="1"/>
  <c r="L871" i="3" l="1"/>
  <c r="T872" i="3"/>
  <c r="AG872" i="3" l="1"/>
  <c r="AH872" i="3"/>
  <c r="U871" i="3"/>
  <c r="E872" i="3" s="1"/>
  <c r="H872" i="3" s="1"/>
  <c r="Y870" i="3"/>
  <c r="D872" i="3" l="1"/>
  <c r="G872" i="3" s="1"/>
  <c r="K872" i="3"/>
  <c r="AE872" i="3" s="1"/>
  <c r="F872" i="3" l="1"/>
  <c r="I872" i="3"/>
  <c r="J872" i="3"/>
  <c r="M872" i="3"/>
  <c r="N872" i="3" s="1"/>
  <c r="V872" i="3"/>
  <c r="A873" i="3"/>
  <c r="B873" i="3" s="1"/>
  <c r="W872" i="3" l="1"/>
  <c r="L872" i="3"/>
  <c r="AA873" i="3"/>
  <c r="AC873" i="3"/>
  <c r="AD873" i="3"/>
  <c r="P873" i="3"/>
  <c r="Q873" i="3" s="1"/>
  <c r="R873" i="3" s="1"/>
  <c r="S873" i="3" s="1"/>
  <c r="Z873" i="3"/>
  <c r="T873" i="3" l="1"/>
  <c r="AH873" i="3" s="1"/>
  <c r="U872" i="3"/>
  <c r="Y871" i="3"/>
  <c r="AG873" i="3" l="1"/>
  <c r="E873" i="3"/>
  <c r="H873" i="3" s="1"/>
  <c r="D873" i="3"/>
  <c r="K873" i="3" l="1"/>
  <c r="AE873" i="3" s="1"/>
  <c r="F873" i="3"/>
  <c r="G873" i="3"/>
  <c r="I873" i="3" l="1"/>
  <c r="J873" i="3"/>
  <c r="M873" i="3"/>
  <c r="N873" i="3" s="1"/>
  <c r="V873" i="3"/>
  <c r="A874" i="3"/>
  <c r="B874" i="3" s="1"/>
  <c r="W873" i="3" l="1"/>
  <c r="L873" i="3"/>
  <c r="AA874" i="3"/>
  <c r="P874" i="3"/>
  <c r="Q874" i="3" s="1"/>
  <c r="R874" i="3" s="1"/>
  <c r="S874" i="3" s="1"/>
  <c r="Z874" i="3"/>
  <c r="AC874" i="3"/>
  <c r="T874" i="3" l="1"/>
  <c r="AH874" i="3" s="1"/>
  <c r="U873" i="3"/>
  <c r="Y872" i="3"/>
  <c r="E874" i="3" l="1"/>
  <c r="H874" i="3" s="1"/>
  <c r="D874" i="3"/>
  <c r="AG874" i="3"/>
  <c r="K874" i="3" l="1"/>
  <c r="AE874" i="3" s="1"/>
  <c r="F874" i="3"/>
  <c r="G874" i="3"/>
  <c r="I874" i="3" l="1"/>
  <c r="J874" i="3"/>
  <c r="AD874" i="3" s="1"/>
  <c r="M874" i="3"/>
  <c r="N874" i="3" s="1"/>
  <c r="V874" i="3"/>
  <c r="A875" i="3"/>
  <c r="B875" i="3" s="1"/>
  <c r="W874" i="3" l="1"/>
  <c r="L874" i="3"/>
  <c r="AA875" i="3"/>
  <c r="Z875" i="3"/>
  <c r="P875" i="3"/>
  <c r="Q875" i="3" s="1"/>
  <c r="R875" i="3" s="1"/>
  <c r="S875" i="3" s="1"/>
  <c r="AD875" i="3"/>
  <c r="AC875" i="3"/>
  <c r="T875" i="3" l="1"/>
  <c r="U874" i="3"/>
  <c r="Y873" i="3"/>
  <c r="D875" i="3" l="1"/>
  <c r="G875" i="3" s="1"/>
  <c r="E875" i="3"/>
  <c r="H875" i="3" s="1"/>
  <c r="K875" i="3" s="1"/>
  <c r="AE875" i="3" s="1"/>
  <c r="AH875" i="3"/>
  <c r="AG875" i="3"/>
  <c r="F875" i="3" l="1"/>
  <c r="V875" i="3"/>
  <c r="A876" i="3"/>
  <c r="B876" i="3" s="1"/>
  <c r="I875" i="3"/>
  <c r="J875" i="3"/>
  <c r="M875" i="3"/>
  <c r="N875" i="3" s="1"/>
  <c r="W875" i="3" l="1"/>
  <c r="L875" i="3"/>
  <c r="AC876" i="3"/>
  <c r="P876" i="3"/>
  <c r="Q876" i="3" s="1"/>
  <c r="R876" i="3" s="1"/>
  <c r="S876" i="3" s="1"/>
  <c r="Z876" i="3"/>
  <c r="AA876" i="3"/>
  <c r="AD876" i="3"/>
  <c r="U875" i="3" l="1"/>
  <c r="Y874" i="3"/>
  <c r="T876" i="3"/>
  <c r="AG876" i="3" s="1"/>
  <c r="D876" i="3" l="1"/>
  <c r="E876" i="3"/>
  <c r="H876" i="3" s="1"/>
  <c r="AH876" i="3"/>
  <c r="K876" i="3" l="1"/>
  <c r="AE876" i="3" s="1"/>
  <c r="F876" i="3"/>
  <c r="G876" i="3"/>
  <c r="I876" i="3" l="1"/>
  <c r="J876" i="3"/>
  <c r="M876" i="3"/>
  <c r="N876" i="3" s="1"/>
  <c r="V876" i="3"/>
  <c r="A877" i="3"/>
  <c r="B877" i="3" s="1"/>
  <c r="W876" i="3" l="1"/>
  <c r="L876" i="3"/>
  <c r="P877" i="3"/>
  <c r="Q877" i="3" s="1"/>
  <c r="R877" i="3" s="1"/>
  <c r="S877" i="3" s="1"/>
  <c r="AA877" i="3"/>
  <c r="Z877" i="3"/>
  <c r="AD877" i="3"/>
  <c r="AC877" i="3"/>
  <c r="U876" i="3" l="1"/>
  <c r="Y875" i="3"/>
  <c r="T877" i="3"/>
  <c r="D877" i="3" l="1"/>
  <c r="G877" i="3" s="1"/>
  <c r="AH877" i="3"/>
  <c r="AG877" i="3"/>
  <c r="E877" i="3"/>
  <c r="H877" i="3" s="1"/>
  <c r="I877" i="3" l="1"/>
  <c r="J877" i="3"/>
  <c r="M877" i="3"/>
  <c r="N877" i="3" s="1"/>
  <c r="K877" i="3"/>
  <c r="AE877" i="3" s="1"/>
  <c r="F877" i="3"/>
  <c r="V877" i="3" l="1"/>
  <c r="W877" i="3" s="1"/>
  <c r="A878" i="3"/>
  <c r="B878" i="3" s="1"/>
  <c r="L877" i="3"/>
  <c r="U877" i="3" l="1"/>
  <c r="Y876" i="3"/>
  <c r="Z878" i="3"/>
  <c r="AD878" i="3"/>
  <c r="AC878" i="3"/>
  <c r="AA878" i="3"/>
  <c r="P878" i="3"/>
  <c r="Q878" i="3" s="1"/>
  <c r="R878" i="3" s="1"/>
  <c r="S878" i="3" s="1"/>
  <c r="T878" i="3" l="1"/>
  <c r="E878" i="3" s="1"/>
  <c r="H878" i="3" s="1"/>
  <c r="D878" i="3" l="1"/>
  <c r="G878" i="3" s="1"/>
  <c r="AG878" i="3"/>
  <c r="AH878" i="3"/>
  <c r="K878" i="3"/>
  <c r="AE878" i="3" s="1"/>
  <c r="F878" i="3" l="1"/>
  <c r="I878" i="3"/>
  <c r="J878" i="3"/>
  <c r="M878" i="3"/>
  <c r="N878" i="3" s="1"/>
  <c r="V878" i="3"/>
  <c r="A879" i="3"/>
  <c r="B879" i="3" s="1"/>
  <c r="W878" i="3" l="1"/>
  <c r="L878" i="3"/>
  <c r="AC879" i="3"/>
  <c r="AD879" i="3"/>
  <c r="P879" i="3"/>
  <c r="Q879" i="3" s="1"/>
  <c r="R879" i="3" s="1"/>
  <c r="S879" i="3" s="1"/>
  <c r="AA879" i="3"/>
  <c r="Z879" i="3"/>
  <c r="T879" i="3" l="1"/>
  <c r="AG879" i="3" s="1"/>
  <c r="U878" i="3"/>
  <c r="Y877" i="3"/>
  <c r="E879" i="3" l="1"/>
  <c r="H879" i="3" s="1"/>
  <c r="D879" i="3"/>
  <c r="AH879" i="3"/>
  <c r="F879" i="3" l="1"/>
  <c r="G879" i="3"/>
  <c r="K879" i="3"/>
  <c r="AE879" i="3" s="1"/>
  <c r="I879" i="3" l="1"/>
  <c r="J879" i="3"/>
  <c r="M879" i="3"/>
  <c r="N879" i="3" s="1"/>
  <c r="V879" i="3"/>
  <c r="A880" i="3"/>
  <c r="B880" i="3" s="1"/>
  <c r="W879" i="3" l="1"/>
  <c r="L879" i="3"/>
  <c r="AD880" i="3"/>
  <c r="AA880" i="3"/>
  <c r="AC880" i="3"/>
  <c r="Z880" i="3"/>
  <c r="P880" i="3"/>
  <c r="Q880" i="3" s="1"/>
  <c r="R880" i="3" s="1"/>
  <c r="S880" i="3" s="1"/>
  <c r="T880" i="3" l="1"/>
  <c r="AG880" i="3" s="1"/>
  <c r="U879" i="3"/>
  <c r="Y878" i="3"/>
  <c r="D880" i="3" l="1"/>
  <c r="AH880" i="3"/>
  <c r="E880" i="3"/>
  <c r="H880" i="3" s="1"/>
  <c r="F880" i="3" l="1"/>
  <c r="G880" i="3"/>
  <c r="K880" i="3"/>
  <c r="AE880" i="3" s="1"/>
  <c r="V880" i="3" l="1"/>
  <c r="A881" i="3"/>
  <c r="B881" i="3" s="1"/>
  <c r="I880" i="3"/>
  <c r="J880" i="3"/>
  <c r="M880" i="3"/>
  <c r="N880" i="3" s="1"/>
  <c r="W880" i="3" l="1"/>
  <c r="L880" i="3"/>
  <c r="AA881" i="3"/>
  <c r="AD881" i="3"/>
  <c r="P881" i="3"/>
  <c r="Q881" i="3" s="1"/>
  <c r="R881" i="3" s="1"/>
  <c r="S881" i="3" s="1"/>
  <c r="Z881" i="3"/>
  <c r="AC881" i="3"/>
  <c r="U880" i="3" l="1"/>
  <c r="Y879" i="3"/>
  <c r="T881" i="3"/>
  <c r="E881" i="3" l="1"/>
  <c r="H881" i="3" s="1"/>
  <c r="K881" i="3" s="1"/>
  <c r="AE881" i="3" s="1"/>
  <c r="D881" i="3"/>
  <c r="AG881" i="3"/>
  <c r="AH881" i="3"/>
  <c r="F881" i="3" l="1"/>
  <c r="G881" i="3"/>
  <c r="I881" i="3" s="1"/>
  <c r="V881" i="3"/>
  <c r="A882" i="3"/>
  <c r="B882" i="3" s="1"/>
  <c r="W881" i="3" l="1"/>
  <c r="M881" i="3"/>
  <c r="N881" i="3" s="1"/>
  <c r="J881" i="3"/>
  <c r="L881" i="3" s="1"/>
  <c r="Z882" i="3"/>
  <c r="P882" i="3"/>
  <c r="Q882" i="3" s="1"/>
  <c r="R882" i="3" s="1"/>
  <c r="S882" i="3" s="1"/>
  <c r="AD882" i="3"/>
  <c r="AC882" i="3"/>
  <c r="AA882" i="3"/>
  <c r="T882" i="3" l="1"/>
  <c r="AG882" i="3" s="1"/>
  <c r="U881" i="3"/>
  <c r="Y880" i="3"/>
  <c r="AH882" i="3" l="1"/>
  <c r="D882" i="3"/>
  <c r="E882" i="3"/>
  <c r="H882" i="3" s="1"/>
  <c r="F882" i="3" l="1"/>
  <c r="G882" i="3"/>
  <c r="K882" i="3"/>
  <c r="AE882" i="3" s="1"/>
  <c r="I882" i="3" l="1"/>
  <c r="J882" i="3"/>
  <c r="M882" i="3"/>
  <c r="N882" i="3" s="1"/>
  <c r="V882" i="3"/>
  <c r="A883" i="3"/>
  <c r="B883" i="3" s="1"/>
  <c r="W882" i="3" l="1"/>
  <c r="L882" i="3"/>
  <c r="AC883" i="3"/>
  <c r="AA883" i="3"/>
  <c r="Z883" i="3"/>
  <c r="AD883" i="3"/>
  <c r="P883" i="3"/>
  <c r="Q883" i="3" s="1"/>
  <c r="R883" i="3" s="1"/>
  <c r="S883" i="3" s="1"/>
  <c r="T883" i="3" l="1"/>
  <c r="AG883" i="3" s="1"/>
  <c r="U882" i="3"/>
  <c r="Y881" i="3"/>
  <c r="E883" i="3" l="1"/>
  <c r="H883" i="3" s="1"/>
  <c r="K883" i="3" s="1"/>
  <c r="AE883" i="3" s="1"/>
  <c r="D883" i="3"/>
  <c r="AH883" i="3"/>
  <c r="V883" i="3" l="1"/>
  <c r="A884" i="3"/>
  <c r="B884" i="3" s="1"/>
  <c r="F883" i="3"/>
  <c r="G883" i="3"/>
  <c r="I883" i="3" l="1"/>
  <c r="W883" i="3" s="1"/>
  <c r="J883" i="3"/>
  <c r="M883" i="3"/>
  <c r="N883" i="3" s="1"/>
  <c r="AA884" i="3"/>
  <c r="Z884" i="3"/>
  <c r="P884" i="3"/>
  <c r="Q884" i="3" s="1"/>
  <c r="R884" i="3" s="1"/>
  <c r="S884" i="3" s="1"/>
  <c r="AC884" i="3"/>
  <c r="T884" i="3" l="1"/>
  <c r="L883" i="3"/>
  <c r="AG884" i="3" l="1"/>
  <c r="U883" i="3"/>
  <c r="D884" i="3" s="1"/>
  <c r="AH884" i="3"/>
  <c r="Y882" i="3"/>
  <c r="E884" i="3" l="1"/>
  <c r="H884" i="3" s="1"/>
  <c r="K884" i="3" s="1"/>
  <c r="AE884" i="3" s="1"/>
  <c r="G884" i="3"/>
  <c r="F884" i="3" l="1"/>
  <c r="V884" i="3"/>
  <c r="A885" i="3"/>
  <c r="B885" i="3" s="1"/>
  <c r="I884" i="3"/>
  <c r="J884" i="3"/>
  <c r="AD884" i="3" s="1"/>
  <c r="M884" i="3"/>
  <c r="N884" i="3" s="1"/>
  <c r="W884" i="3" l="1"/>
  <c r="L884" i="3"/>
  <c r="P885" i="3"/>
  <c r="Q885" i="3" s="1"/>
  <c r="R885" i="3" s="1"/>
  <c r="S885" i="3" s="1"/>
  <c r="AD885" i="3"/>
  <c r="Z885" i="3"/>
  <c r="AC885" i="3"/>
  <c r="AA885" i="3"/>
  <c r="U884" i="3" l="1"/>
  <c r="Y883" i="3"/>
  <c r="T885" i="3"/>
  <c r="AH885" i="3" s="1"/>
  <c r="D885" i="3" l="1"/>
  <c r="G885" i="3" s="1"/>
  <c r="E885" i="3"/>
  <c r="H885" i="3" s="1"/>
  <c r="K885" i="3" s="1"/>
  <c r="AE885" i="3" s="1"/>
  <c r="AG885" i="3"/>
  <c r="F885" i="3" l="1"/>
  <c r="V885" i="3"/>
  <c r="A886" i="3"/>
  <c r="B886" i="3" s="1"/>
  <c r="I885" i="3"/>
  <c r="J885" i="3"/>
  <c r="M885" i="3"/>
  <c r="N885" i="3" s="1"/>
  <c r="W885" i="3" l="1"/>
  <c r="L885" i="3"/>
  <c r="P886" i="3"/>
  <c r="Q886" i="3" s="1"/>
  <c r="R886" i="3" s="1"/>
  <c r="S886" i="3" s="1"/>
  <c r="AA886" i="3"/>
  <c r="AC886" i="3"/>
  <c r="AD886" i="3"/>
  <c r="Z886" i="3"/>
  <c r="U885" i="3" l="1"/>
  <c r="Y884" i="3"/>
  <c r="T886" i="3"/>
  <c r="E886" i="3" l="1"/>
  <c r="H886" i="3" s="1"/>
  <c r="K886" i="3" s="1"/>
  <c r="AE886" i="3" s="1"/>
  <c r="AH886" i="3"/>
  <c r="AG886" i="3"/>
  <c r="D886" i="3"/>
  <c r="F886" i="3" l="1"/>
  <c r="G886" i="3"/>
  <c r="V886" i="3"/>
  <c r="A887" i="3"/>
  <c r="B887" i="3" s="1"/>
  <c r="I886" i="3" l="1"/>
  <c r="W886" i="3" s="1"/>
  <c r="J886" i="3"/>
  <c r="M886" i="3"/>
  <c r="N886" i="3" s="1"/>
  <c r="P887" i="3"/>
  <c r="Q887" i="3" s="1"/>
  <c r="R887" i="3" s="1"/>
  <c r="S887" i="3" s="1"/>
  <c r="Z887" i="3"/>
  <c r="AD887" i="3"/>
  <c r="AA887" i="3"/>
  <c r="AC887" i="3"/>
  <c r="T887" i="3" l="1"/>
  <c r="L886" i="3"/>
  <c r="AG887" i="3" l="1"/>
  <c r="AH887" i="3"/>
  <c r="U886" i="3"/>
  <c r="D887" i="3" s="1"/>
  <c r="Y885" i="3"/>
  <c r="E887" i="3" l="1"/>
  <c r="H887" i="3" s="1"/>
  <c r="K887" i="3" s="1"/>
  <c r="AE887" i="3" s="1"/>
  <c r="G887" i="3"/>
  <c r="F887" i="3" l="1"/>
  <c r="I887" i="3"/>
  <c r="J887" i="3"/>
  <c r="M887" i="3"/>
  <c r="N887" i="3" s="1"/>
  <c r="V887" i="3"/>
  <c r="A888" i="3"/>
  <c r="B888" i="3" s="1"/>
  <c r="W887" i="3" l="1"/>
  <c r="L887" i="3"/>
  <c r="AC888" i="3"/>
  <c r="AD888" i="3"/>
  <c r="AA888" i="3"/>
  <c r="Z888" i="3"/>
  <c r="P888" i="3"/>
  <c r="Q888" i="3" s="1"/>
  <c r="R888" i="3" s="1"/>
  <c r="S888" i="3" s="1"/>
  <c r="T888" i="3" l="1"/>
  <c r="U887" i="3"/>
  <c r="Y886" i="3"/>
  <c r="E888" i="3" l="1"/>
  <c r="H888" i="3" s="1"/>
  <c r="K888" i="3" s="1"/>
  <c r="AE888" i="3" s="1"/>
  <c r="D888" i="3"/>
  <c r="G888" i="3" s="1"/>
  <c r="AG888" i="3"/>
  <c r="AH888" i="3"/>
  <c r="F888" i="3" l="1"/>
  <c r="I888" i="3"/>
  <c r="J888" i="3"/>
  <c r="M888" i="3"/>
  <c r="N888" i="3" s="1"/>
  <c r="V888" i="3"/>
  <c r="A889" i="3"/>
  <c r="B889" i="3" s="1"/>
  <c r="W888" i="3" l="1"/>
  <c r="L888" i="3"/>
  <c r="AA889" i="3"/>
  <c r="Z889" i="3"/>
  <c r="AD889" i="3"/>
  <c r="P889" i="3"/>
  <c r="Q889" i="3" s="1"/>
  <c r="R889" i="3" s="1"/>
  <c r="S889" i="3" s="1"/>
  <c r="AC889" i="3"/>
  <c r="T889" i="3" l="1"/>
  <c r="AG889" i="3" s="1"/>
  <c r="U888" i="3"/>
  <c r="Y887" i="3"/>
  <c r="AH889" i="3" l="1"/>
  <c r="D889" i="3"/>
  <c r="G889" i="3" s="1"/>
  <c r="E889" i="3"/>
  <c r="H889" i="3" s="1"/>
  <c r="I889" i="3" l="1"/>
  <c r="J889" i="3"/>
  <c r="M889" i="3"/>
  <c r="N889" i="3" s="1"/>
  <c r="K889" i="3"/>
  <c r="AE889" i="3" s="1"/>
  <c r="F889" i="3"/>
  <c r="L889" i="3" l="1"/>
  <c r="V889" i="3"/>
  <c r="W889" i="3" s="1"/>
  <c r="A890" i="3"/>
  <c r="B890" i="3" s="1"/>
  <c r="AA890" i="3" l="1"/>
  <c r="P890" i="3"/>
  <c r="Q890" i="3" s="1"/>
  <c r="R890" i="3" s="1"/>
  <c r="S890" i="3" s="1"/>
  <c r="Z890" i="3"/>
  <c r="AC890" i="3"/>
  <c r="AD890" i="3"/>
  <c r="U889" i="3"/>
  <c r="Y888" i="3"/>
  <c r="T890" i="3" l="1"/>
  <c r="AG890" i="3" s="1"/>
  <c r="E890" i="3" l="1"/>
  <c r="H890" i="3" s="1"/>
  <c r="K890" i="3" s="1"/>
  <c r="AE890" i="3" s="1"/>
  <c r="AH890" i="3"/>
  <c r="D890" i="3"/>
  <c r="F890" i="3" l="1"/>
  <c r="G890" i="3"/>
  <c r="V890" i="3"/>
  <c r="A891" i="3"/>
  <c r="B891" i="3" s="1"/>
  <c r="AD891" i="3" l="1"/>
  <c r="P891" i="3"/>
  <c r="Q891" i="3" s="1"/>
  <c r="R891" i="3" s="1"/>
  <c r="S891" i="3" s="1"/>
  <c r="AC891" i="3"/>
  <c r="Z891" i="3"/>
  <c r="AA891" i="3"/>
  <c r="I890" i="3"/>
  <c r="W890" i="3" s="1"/>
  <c r="J890" i="3"/>
  <c r="M890" i="3"/>
  <c r="N890" i="3" s="1"/>
  <c r="L890" i="3" l="1"/>
  <c r="T891" i="3"/>
  <c r="U890" i="3" l="1"/>
  <c r="D891" i="3" s="1"/>
  <c r="AH891" i="3"/>
  <c r="AG891" i="3"/>
  <c r="Y889" i="3"/>
  <c r="E891" i="3" l="1"/>
  <c r="H891" i="3" s="1"/>
  <c r="K891" i="3" s="1"/>
  <c r="AE891" i="3" s="1"/>
  <c r="G891" i="3"/>
  <c r="F891" i="3" l="1"/>
  <c r="I891" i="3"/>
  <c r="J891" i="3"/>
  <c r="M891" i="3"/>
  <c r="N891" i="3" s="1"/>
  <c r="V891" i="3"/>
  <c r="A892" i="3"/>
  <c r="B892" i="3" s="1"/>
  <c r="W891" i="3" l="1"/>
  <c r="L891" i="3"/>
  <c r="P892" i="3"/>
  <c r="Q892" i="3" s="1"/>
  <c r="R892" i="3" s="1"/>
  <c r="S892" i="3" s="1"/>
  <c r="AC892" i="3"/>
  <c r="AD892" i="3"/>
  <c r="Z892" i="3"/>
  <c r="AA892" i="3"/>
  <c r="U891" i="3" l="1"/>
  <c r="Y890" i="3"/>
  <c r="T892" i="3"/>
  <c r="AG892" i="3" s="1"/>
  <c r="AH892" i="3" l="1"/>
  <c r="D892" i="3"/>
  <c r="G892" i="3" s="1"/>
  <c r="E892" i="3"/>
  <c r="H892" i="3" s="1"/>
  <c r="F892" i="3" l="1"/>
  <c r="I892" i="3"/>
  <c r="J892" i="3"/>
  <c r="M892" i="3"/>
  <c r="N892" i="3" s="1"/>
  <c r="K892" i="3"/>
  <c r="AE892" i="3" s="1"/>
  <c r="V892" i="3" l="1"/>
  <c r="W892" i="3" s="1"/>
  <c r="A893" i="3"/>
  <c r="B893" i="3" s="1"/>
  <c r="L892" i="3"/>
  <c r="U892" i="3" l="1"/>
  <c r="Y891" i="3"/>
  <c r="AC893" i="3"/>
  <c r="P893" i="3"/>
  <c r="Q893" i="3" s="1"/>
  <c r="R893" i="3" s="1"/>
  <c r="S893" i="3" s="1"/>
  <c r="AD893" i="3"/>
  <c r="AA893" i="3"/>
  <c r="Z893" i="3"/>
  <c r="T893" i="3" l="1"/>
  <c r="E893" i="3" s="1"/>
  <c r="H893" i="3" s="1"/>
  <c r="AH893" i="3" l="1"/>
  <c r="D893" i="3"/>
  <c r="F893" i="3" s="1"/>
  <c r="AG893" i="3"/>
  <c r="K893" i="3"/>
  <c r="AE893" i="3" s="1"/>
  <c r="G893" i="3" l="1"/>
  <c r="M893" i="3" s="1"/>
  <c r="N893" i="3" s="1"/>
  <c r="V893" i="3"/>
  <c r="A894" i="3"/>
  <c r="B894" i="3" s="1"/>
  <c r="I893" i="3" l="1"/>
  <c r="W893" i="3" s="1"/>
  <c r="J893" i="3"/>
  <c r="L893" i="3" s="1"/>
  <c r="Z894" i="3"/>
  <c r="P894" i="3"/>
  <c r="Q894" i="3" s="1"/>
  <c r="R894" i="3" s="1"/>
  <c r="S894" i="3" s="1"/>
  <c r="AC894" i="3"/>
  <c r="AA894" i="3"/>
  <c r="U893" i="3" l="1"/>
  <c r="Y892" i="3"/>
  <c r="T894" i="3"/>
  <c r="AH894" i="3" s="1"/>
  <c r="D894" i="3" l="1"/>
  <c r="G894" i="3" s="1"/>
  <c r="AG894" i="3"/>
  <c r="E894" i="3"/>
  <c r="H894" i="3" s="1"/>
  <c r="F894" i="3" l="1"/>
  <c r="I894" i="3"/>
  <c r="J894" i="3"/>
  <c r="AD894" i="3" s="1"/>
  <c r="M894" i="3"/>
  <c r="N894" i="3" s="1"/>
  <c r="K894" i="3"/>
  <c r="AE894" i="3" s="1"/>
  <c r="V894" i="3" l="1"/>
  <c r="W894" i="3" s="1"/>
  <c r="A895" i="3"/>
  <c r="B895" i="3" s="1"/>
  <c r="L894" i="3"/>
  <c r="U894" i="3" l="1"/>
  <c r="Y893" i="3"/>
  <c r="AD895" i="3"/>
  <c r="P895" i="3"/>
  <c r="Q895" i="3" s="1"/>
  <c r="R895" i="3" s="1"/>
  <c r="S895" i="3" s="1"/>
  <c r="AA895" i="3"/>
  <c r="AC895" i="3"/>
  <c r="Z895" i="3"/>
  <c r="T895" i="3" l="1"/>
  <c r="AH895" i="3" s="1"/>
  <c r="E895" i="3" l="1"/>
  <c r="H895" i="3" s="1"/>
  <c r="K895" i="3" s="1"/>
  <c r="AE895" i="3" s="1"/>
  <c r="D895" i="3"/>
  <c r="AG895" i="3"/>
  <c r="F895" i="3" l="1"/>
  <c r="G895" i="3"/>
  <c r="V895" i="3"/>
  <c r="A896" i="3"/>
  <c r="B896" i="3" s="1"/>
  <c r="I895" i="3" l="1"/>
  <c r="W895" i="3" s="1"/>
  <c r="J895" i="3"/>
  <c r="M895" i="3"/>
  <c r="N895" i="3" s="1"/>
  <c r="Z896" i="3"/>
  <c r="P896" i="3"/>
  <c r="Q896" i="3" s="1"/>
  <c r="R896" i="3" s="1"/>
  <c r="S896" i="3" s="1"/>
  <c r="AC896" i="3"/>
  <c r="AD896" i="3"/>
  <c r="AA896" i="3"/>
  <c r="T896" i="3" l="1"/>
  <c r="L895" i="3"/>
  <c r="AG896" i="3" l="1"/>
  <c r="AH896" i="3"/>
  <c r="U895" i="3"/>
  <c r="E896" i="3" s="1"/>
  <c r="H896" i="3" s="1"/>
  <c r="Y894" i="3"/>
  <c r="D896" i="3" l="1"/>
  <c r="G896" i="3" s="1"/>
  <c r="K896" i="3"/>
  <c r="AE896" i="3" s="1"/>
  <c r="F896" i="3" l="1"/>
  <c r="V896" i="3"/>
  <c r="A897" i="3"/>
  <c r="B897" i="3" s="1"/>
  <c r="I896" i="3"/>
  <c r="J896" i="3"/>
  <c r="M896" i="3"/>
  <c r="N896" i="3" s="1"/>
  <c r="W896" i="3" l="1"/>
  <c r="L896" i="3"/>
  <c r="Z897" i="3"/>
  <c r="AC897" i="3"/>
  <c r="AA897" i="3"/>
  <c r="P897" i="3"/>
  <c r="Q897" i="3" s="1"/>
  <c r="R897" i="3" s="1"/>
  <c r="S897" i="3" s="1"/>
  <c r="AD897" i="3"/>
  <c r="U896" i="3" l="1"/>
  <c r="Y895" i="3"/>
  <c r="T897" i="3"/>
  <c r="D897" i="3" l="1"/>
  <c r="E897" i="3"/>
  <c r="H897" i="3" s="1"/>
  <c r="AH897" i="3"/>
  <c r="AG897" i="3"/>
  <c r="F897" i="3" l="1"/>
  <c r="G897" i="3"/>
  <c r="M897" i="3" s="1"/>
  <c r="N897" i="3" s="1"/>
  <c r="K897" i="3"/>
  <c r="AE897" i="3" s="1"/>
  <c r="I897" i="3" l="1"/>
  <c r="J897" i="3"/>
  <c r="L897" i="3" s="1"/>
  <c r="V897" i="3"/>
  <c r="A898" i="3"/>
  <c r="B898" i="3" s="1"/>
  <c r="W897" i="3" l="1"/>
  <c r="AA898" i="3"/>
  <c r="AD898" i="3"/>
  <c r="P898" i="3"/>
  <c r="Q898" i="3" s="1"/>
  <c r="R898" i="3" s="1"/>
  <c r="S898" i="3" s="1"/>
  <c r="Z898" i="3"/>
  <c r="AC898" i="3"/>
  <c r="U897" i="3"/>
  <c r="Y896" i="3"/>
  <c r="T898" i="3" l="1"/>
  <c r="D898" i="3" s="1"/>
  <c r="G898" i="3" l="1"/>
  <c r="AG898" i="3"/>
  <c r="E898" i="3"/>
  <c r="H898" i="3" s="1"/>
  <c r="AH898" i="3"/>
  <c r="F898" i="3" l="1"/>
  <c r="I898" i="3"/>
  <c r="J898" i="3"/>
  <c r="M898" i="3"/>
  <c r="N898" i="3" s="1"/>
  <c r="K898" i="3"/>
  <c r="AE898" i="3" s="1"/>
  <c r="V898" i="3" l="1"/>
  <c r="W898" i="3" s="1"/>
  <c r="A899" i="3"/>
  <c r="B899" i="3" s="1"/>
  <c r="L898" i="3"/>
  <c r="U898" i="3" l="1"/>
  <c r="Y897" i="3"/>
  <c r="AC899" i="3"/>
  <c r="Z899" i="3"/>
  <c r="P899" i="3"/>
  <c r="Q899" i="3" s="1"/>
  <c r="R899" i="3" s="1"/>
  <c r="S899" i="3" s="1"/>
  <c r="AD899" i="3"/>
  <c r="AA899" i="3"/>
  <c r="T899" i="3" l="1"/>
  <c r="E899" i="3" s="1"/>
  <c r="H899" i="3" s="1"/>
  <c r="D899" i="3" l="1"/>
  <c r="G899" i="3" s="1"/>
  <c r="AG899" i="3"/>
  <c r="AH899" i="3"/>
  <c r="K899" i="3"/>
  <c r="AE899" i="3" s="1"/>
  <c r="F899" i="3" l="1"/>
  <c r="I899" i="3"/>
  <c r="J899" i="3"/>
  <c r="M899" i="3"/>
  <c r="N899" i="3" s="1"/>
  <c r="V899" i="3"/>
  <c r="A900" i="3"/>
  <c r="B900" i="3" s="1"/>
  <c r="W899" i="3" l="1"/>
  <c r="L899" i="3"/>
  <c r="P900" i="3"/>
  <c r="Q900" i="3" s="1"/>
  <c r="R900" i="3" s="1"/>
  <c r="S900" i="3" s="1"/>
  <c r="AC900" i="3"/>
  <c r="Z900" i="3"/>
  <c r="AD900" i="3"/>
  <c r="AA900" i="3"/>
  <c r="U899" i="3" l="1"/>
  <c r="Y898" i="3"/>
  <c r="T900" i="3"/>
  <c r="D900" i="3" l="1"/>
  <c r="G900" i="3" s="1"/>
  <c r="AH900" i="3"/>
  <c r="AG900" i="3"/>
  <c r="E900" i="3"/>
  <c r="H900" i="3" s="1"/>
  <c r="K900" i="3" s="1"/>
  <c r="AE900" i="3" s="1"/>
  <c r="F900" i="3" l="1"/>
  <c r="V900" i="3"/>
  <c r="A901" i="3"/>
  <c r="B901" i="3" s="1"/>
  <c r="I900" i="3"/>
  <c r="J900" i="3"/>
  <c r="M900" i="3"/>
  <c r="N900" i="3" s="1"/>
  <c r="L900" i="3" l="1"/>
  <c r="W900" i="3"/>
  <c r="AD901" i="3"/>
  <c r="P901" i="3"/>
  <c r="Q901" i="3" s="1"/>
  <c r="R901" i="3" s="1"/>
  <c r="S901" i="3" s="1"/>
  <c r="AA901" i="3"/>
  <c r="AC901" i="3"/>
  <c r="Z901" i="3"/>
  <c r="U900" i="3" l="1"/>
  <c r="Y899" i="3"/>
  <c r="T901" i="3"/>
  <c r="E901" i="3" l="1"/>
  <c r="H901" i="3" s="1"/>
  <c r="K901" i="3" s="1"/>
  <c r="AE901" i="3" s="1"/>
  <c r="AG901" i="3"/>
  <c r="D901" i="3"/>
  <c r="AH901" i="3"/>
  <c r="F901" i="3" l="1"/>
  <c r="G901" i="3"/>
  <c r="V901" i="3"/>
  <c r="A902" i="3"/>
  <c r="B902" i="3" s="1"/>
  <c r="AD902" i="3" l="1"/>
  <c r="AC902" i="3"/>
  <c r="P902" i="3"/>
  <c r="Q902" i="3" s="1"/>
  <c r="R902" i="3" s="1"/>
  <c r="S902" i="3" s="1"/>
  <c r="Z902" i="3"/>
  <c r="AA902" i="3"/>
  <c r="I901" i="3"/>
  <c r="W901" i="3" s="1"/>
  <c r="J901" i="3"/>
  <c r="M901" i="3"/>
  <c r="N901" i="3" s="1"/>
  <c r="T902" i="3" l="1"/>
  <c r="L901" i="3"/>
  <c r="U901" i="3" l="1"/>
  <c r="E902" i="3" s="1"/>
  <c r="H902" i="3" s="1"/>
  <c r="AH902" i="3"/>
  <c r="AG902" i="3"/>
  <c r="Y900" i="3"/>
  <c r="D902" i="3" l="1"/>
  <c r="F902" i="3" s="1"/>
  <c r="K902" i="3"/>
  <c r="AE902" i="3" s="1"/>
  <c r="G902" i="3" l="1"/>
  <c r="J902" i="3" s="1"/>
  <c r="V902" i="3"/>
  <c r="A903" i="3"/>
  <c r="B903" i="3" s="1"/>
  <c r="M902" i="3" l="1"/>
  <c r="N902" i="3" s="1"/>
  <c r="I902" i="3"/>
  <c r="W902" i="3" s="1"/>
  <c r="L902" i="3"/>
  <c r="Z903" i="3"/>
  <c r="AC903" i="3"/>
  <c r="P903" i="3"/>
  <c r="Q903" i="3" s="1"/>
  <c r="R903" i="3" s="1"/>
  <c r="S903" i="3" s="1"/>
  <c r="AD903" i="3"/>
  <c r="AA903" i="3"/>
  <c r="T903" i="3" l="1"/>
  <c r="AH903" i="3" s="1"/>
  <c r="U902" i="3"/>
  <c r="Y901" i="3"/>
  <c r="D903" i="3" l="1"/>
  <c r="E903" i="3"/>
  <c r="H903" i="3" s="1"/>
  <c r="AG903" i="3"/>
  <c r="K903" i="3" l="1"/>
  <c r="AE903" i="3" s="1"/>
  <c r="F903" i="3"/>
  <c r="G903" i="3"/>
  <c r="I903" i="3" l="1"/>
  <c r="J903" i="3"/>
  <c r="M903" i="3"/>
  <c r="N903" i="3" s="1"/>
  <c r="V903" i="3"/>
  <c r="A904" i="3"/>
  <c r="B904" i="3" s="1"/>
  <c r="W903" i="3" l="1"/>
  <c r="L903" i="3"/>
  <c r="AC904" i="3"/>
  <c r="Z904" i="3"/>
  <c r="P904" i="3"/>
  <c r="Q904" i="3" s="1"/>
  <c r="R904" i="3" s="1"/>
  <c r="S904" i="3" s="1"/>
  <c r="AA904" i="3"/>
  <c r="U903" i="3" l="1"/>
  <c r="Y902" i="3"/>
  <c r="T904" i="3"/>
  <c r="AH904" i="3" s="1"/>
  <c r="E904" i="3" l="1"/>
  <c r="H904" i="3" s="1"/>
  <c r="AG904" i="3"/>
  <c r="D904" i="3"/>
  <c r="K904" i="3" l="1"/>
  <c r="AE904" i="3" s="1"/>
  <c r="F904" i="3"/>
  <c r="G904" i="3"/>
  <c r="V904" i="3" l="1"/>
  <c r="A905" i="3"/>
  <c r="B905" i="3" s="1"/>
  <c r="I904" i="3"/>
  <c r="J904" i="3"/>
  <c r="AD904" i="3" s="1"/>
  <c r="M904" i="3"/>
  <c r="N904" i="3" s="1"/>
  <c r="L904" i="3" l="1"/>
  <c r="W904" i="3"/>
  <c r="AA905" i="3"/>
  <c r="Z905" i="3"/>
  <c r="AD905" i="3"/>
  <c r="AC905" i="3"/>
  <c r="P905" i="3"/>
  <c r="Q905" i="3" s="1"/>
  <c r="R905" i="3" s="1"/>
  <c r="S905" i="3" s="1"/>
  <c r="U904" i="3" l="1"/>
  <c r="Y903" i="3"/>
  <c r="T905" i="3"/>
  <c r="D905" i="3" l="1"/>
  <c r="G905" i="3" s="1"/>
  <c r="E905" i="3"/>
  <c r="H905" i="3" s="1"/>
  <c r="K905" i="3" s="1"/>
  <c r="AE905" i="3" s="1"/>
  <c r="AG905" i="3"/>
  <c r="AH905" i="3"/>
  <c r="F905" i="3" l="1"/>
  <c r="I905" i="3"/>
  <c r="J905" i="3"/>
  <c r="M905" i="3"/>
  <c r="N905" i="3" s="1"/>
  <c r="V905" i="3"/>
  <c r="A906" i="3"/>
  <c r="B906" i="3" s="1"/>
  <c r="L905" i="3" l="1"/>
  <c r="W905" i="3"/>
  <c r="AC906" i="3"/>
  <c r="P906" i="3"/>
  <c r="Q906" i="3" s="1"/>
  <c r="R906" i="3" s="1"/>
  <c r="S906" i="3" s="1"/>
  <c r="Z906" i="3"/>
  <c r="AD906" i="3"/>
  <c r="AA906" i="3"/>
  <c r="T906" i="3" l="1"/>
  <c r="U905" i="3"/>
  <c r="Y904" i="3"/>
  <c r="D906" i="3" l="1"/>
  <c r="G906" i="3" s="1"/>
  <c r="AG906" i="3"/>
  <c r="E906" i="3"/>
  <c r="H906" i="3" s="1"/>
  <c r="AH906" i="3"/>
  <c r="F906" i="3" l="1"/>
  <c r="I906" i="3"/>
  <c r="J906" i="3"/>
  <c r="M906" i="3"/>
  <c r="N906" i="3" s="1"/>
  <c r="K906" i="3"/>
  <c r="AE906" i="3" s="1"/>
  <c r="V906" i="3" l="1"/>
  <c r="W906" i="3" s="1"/>
  <c r="A907" i="3"/>
  <c r="B907" i="3" s="1"/>
  <c r="L906" i="3"/>
  <c r="U906" i="3" l="1"/>
  <c r="Y905" i="3"/>
  <c r="Z907" i="3"/>
  <c r="AC907" i="3"/>
  <c r="AA907" i="3"/>
  <c r="P907" i="3"/>
  <c r="Q907" i="3" s="1"/>
  <c r="R907" i="3" s="1"/>
  <c r="S907" i="3" s="1"/>
  <c r="AD907" i="3"/>
  <c r="T907" i="3" l="1"/>
  <c r="AG907" i="3" s="1"/>
  <c r="E907" i="3" l="1"/>
  <c r="H907" i="3" s="1"/>
  <c r="K907" i="3" s="1"/>
  <c r="AE907" i="3" s="1"/>
  <c r="D907" i="3"/>
  <c r="AH907" i="3"/>
  <c r="V907" i="3" l="1"/>
  <c r="A908" i="3"/>
  <c r="B908" i="3" s="1"/>
  <c r="F907" i="3"/>
  <c r="G907" i="3"/>
  <c r="I907" i="3" l="1"/>
  <c r="W907" i="3" s="1"/>
  <c r="J907" i="3"/>
  <c r="M907" i="3"/>
  <c r="N907" i="3" s="1"/>
  <c r="P908" i="3"/>
  <c r="Q908" i="3" s="1"/>
  <c r="R908" i="3" s="1"/>
  <c r="S908" i="3" s="1"/>
  <c r="AA908" i="3"/>
  <c r="Z908" i="3"/>
  <c r="AD908" i="3"/>
  <c r="AC908" i="3"/>
  <c r="T908" i="3" l="1"/>
  <c r="L907" i="3"/>
  <c r="AG908" i="3" l="1"/>
  <c r="AH908" i="3"/>
  <c r="U907" i="3"/>
  <c r="E908" i="3" s="1"/>
  <c r="H908" i="3" s="1"/>
  <c r="Y906" i="3"/>
  <c r="D908" i="3" l="1"/>
  <c r="G908" i="3" s="1"/>
  <c r="K908" i="3"/>
  <c r="AE908" i="3" s="1"/>
  <c r="F908" i="3" l="1"/>
  <c r="I908" i="3"/>
  <c r="J908" i="3"/>
  <c r="M908" i="3"/>
  <c r="N908" i="3" s="1"/>
  <c r="V908" i="3"/>
  <c r="A909" i="3"/>
  <c r="B909" i="3" s="1"/>
  <c r="W908" i="3" l="1"/>
  <c r="L908" i="3"/>
  <c r="AA909" i="3"/>
  <c r="Z909" i="3"/>
  <c r="P909" i="3"/>
  <c r="Q909" i="3" s="1"/>
  <c r="R909" i="3" s="1"/>
  <c r="S909" i="3" s="1"/>
  <c r="AD909" i="3"/>
  <c r="AC909" i="3"/>
  <c r="U908" i="3" l="1"/>
  <c r="Y907" i="3"/>
  <c r="T909" i="3"/>
  <c r="AH909" i="3" s="1"/>
  <c r="AG909" i="3" l="1"/>
  <c r="D909" i="3"/>
  <c r="G909" i="3" s="1"/>
  <c r="E909" i="3"/>
  <c r="H909" i="3" s="1"/>
  <c r="K909" i="3" s="1"/>
  <c r="AE909" i="3" s="1"/>
  <c r="F909" i="3" l="1"/>
  <c r="V909" i="3"/>
  <c r="A910" i="3"/>
  <c r="B910" i="3" s="1"/>
  <c r="I909" i="3"/>
  <c r="J909" i="3"/>
  <c r="M909" i="3"/>
  <c r="N909" i="3" s="1"/>
  <c r="W909" i="3" l="1"/>
  <c r="L909" i="3"/>
  <c r="AA910" i="3"/>
  <c r="AC910" i="3"/>
  <c r="P910" i="3"/>
  <c r="Q910" i="3" s="1"/>
  <c r="R910" i="3" s="1"/>
  <c r="S910" i="3" s="1"/>
  <c r="AD910" i="3"/>
  <c r="Z910" i="3"/>
  <c r="U909" i="3" l="1"/>
  <c r="Y908" i="3"/>
  <c r="T910" i="3"/>
  <c r="AH910" i="3" s="1"/>
  <c r="D910" i="3" l="1"/>
  <c r="G910" i="3" s="1"/>
  <c r="AG910" i="3"/>
  <c r="E910" i="3"/>
  <c r="H910" i="3" s="1"/>
  <c r="F910" i="3" l="1"/>
  <c r="I910" i="3"/>
  <c r="J910" i="3"/>
  <c r="M910" i="3"/>
  <c r="N910" i="3" s="1"/>
  <c r="K910" i="3"/>
  <c r="AE910" i="3" s="1"/>
  <c r="V910" i="3" l="1"/>
  <c r="W910" i="3" s="1"/>
  <c r="A911" i="3"/>
  <c r="B911" i="3" s="1"/>
  <c r="L910" i="3"/>
  <c r="U910" i="3" l="1"/>
  <c r="Y909" i="3"/>
  <c r="AD911" i="3"/>
  <c r="AA911" i="3"/>
  <c r="P911" i="3"/>
  <c r="Q911" i="3" s="1"/>
  <c r="R911" i="3" s="1"/>
  <c r="S911" i="3" s="1"/>
  <c r="Z911" i="3"/>
  <c r="AC911" i="3"/>
  <c r="T911" i="3" l="1"/>
  <c r="E911" i="3" s="1"/>
  <c r="H911" i="3" s="1"/>
  <c r="AH911" i="3" l="1"/>
  <c r="D911" i="3"/>
  <c r="G911" i="3" s="1"/>
  <c r="AG911" i="3"/>
  <c r="K911" i="3"/>
  <c r="AE911" i="3" s="1"/>
  <c r="F911" i="3" l="1"/>
  <c r="I911" i="3"/>
  <c r="J911" i="3"/>
  <c r="M911" i="3"/>
  <c r="N911" i="3" s="1"/>
  <c r="V911" i="3"/>
  <c r="A912" i="3"/>
  <c r="B912" i="3" s="1"/>
  <c r="W911" i="3" l="1"/>
  <c r="L911" i="3"/>
  <c r="AA912" i="3"/>
  <c r="AD912" i="3"/>
  <c r="AC912" i="3"/>
  <c r="P912" i="3"/>
  <c r="Q912" i="3" s="1"/>
  <c r="R912" i="3" s="1"/>
  <c r="S912" i="3" s="1"/>
  <c r="Z912" i="3"/>
  <c r="T912" i="3" l="1"/>
  <c r="U911" i="3"/>
  <c r="Y910" i="3"/>
  <c r="D912" i="3" l="1"/>
  <c r="G912" i="3" s="1"/>
  <c r="AG912" i="3"/>
  <c r="AH912" i="3"/>
  <c r="E912" i="3"/>
  <c r="H912" i="3" s="1"/>
  <c r="I912" i="3" l="1"/>
  <c r="J912" i="3"/>
  <c r="M912" i="3"/>
  <c r="N912" i="3" s="1"/>
  <c r="F912" i="3"/>
  <c r="K912" i="3"/>
  <c r="AE912" i="3" s="1"/>
  <c r="L912" i="3" l="1"/>
  <c r="V912" i="3"/>
  <c r="W912" i="3" s="1"/>
  <c r="A913" i="3"/>
  <c r="B913" i="3" s="1"/>
  <c r="U912" i="3" l="1"/>
  <c r="Y911" i="3"/>
  <c r="Z913" i="3"/>
  <c r="AD913" i="3"/>
  <c r="P913" i="3"/>
  <c r="Q913" i="3" s="1"/>
  <c r="R913" i="3" s="1"/>
  <c r="S913" i="3" s="1"/>
  <c r="AA913" i="3"/>
  <c r="AC913" i="3"/>
  <c r="T913" i="3" l="1"/>
  <c r="AH913" i="3" s="1"/>
  <c r="D913" i="3" l="1"/>
  <c r="G913" i="3" s="1"/>
  <c r="AG913" i="3"/>
  <c r="E913" i="3"/>
  <c r="H913" i="3" s="1"/>
  <c r="F913" i="3" l="1"/>
  <c r="I913" i="3"/>
  <c r="J913" i="3"/>
  <c r="M913" i="3"/>
  <c r="N913" i="3" s="1"/>
  <c r="K913" i="3"/>
  <c r="AE913" i="3" s="1"/>
  <c r="V913" i="3" l="1"/>
  <c r="W913" i="3" s="1"/>
  <c r="A914" i="3"/>
  <c r="B914" i="3" s="1"/>
  <c r="L913" i="3"/>
  <c r="U913" i="3" l="1"/>
  <c r="Y912" i="3"/>
  <c r="AA914" i="3"/>
  <c r="Z914" i="3"/>
  <c r="AC914" i="3"/>
  <c r="P914" i="3"/>
  <c r="Q914" i="3" s="1"/>
  <c r="R914" i="3" s="1"/>
  <c r="S914" i="3" s="1"/>
  <c r="T914" i="3" l="1"/>
  <c r="D914" i="3" s="1"/>
  <c r="E914" i="3" l="1"/>
  <c r="H914" i="3" s="1"/>
  <c r="K914" i="3" s="1"/>
  <c r="AE914" i="3" s="1"/>
  <c r="G914" i="3"/>
  <c r="AH914" i="3"/>
  <c r="AG914" i="3"/>
  <c r="F914" i="3" l="1"/>
  <c r="I914" i="3"/>
  <c r="J914" i="3"/>
  <c r="AD914" i="3" s="1"/>
  <c r="M914" i="3"/>
  <c r="N914" i="3" s="1"/>
  <c r="V914" i="3"/>
  <c r="A915" i="3"/>
  <c r="B915" i="3" s="1"/>
  <c r="W914" i="3" l="1"/>
  <c r="L914" i="3"/>
  <c r="P915" i="3"/>
  <c r="Q915" i="3" s="1"/>
  <c r="R915" i="3" s="1"/>
  <c r="S915" i="3" s="1"/>
  <c r="AA915" i="3"/>
  <c r="AC915" i="3"/>
  <c r="Z915" i="3"/>
  <c r="AD915" i="3"/>
  <c r="U914" i="3" l="1"/>
  <c r="Y913" i="3"/>
  <c r="T915" i="3"/>
  <c r="AH915" i="3" s="1"/>
  <c r="E915" i="3" l="1"/>
  <c r="H915" i="3" s="1"/>
  <c r="D915" i="3"/>
  <c r="AG915" i="3"/>
  <c r="K915" i="3" l="1"/>
  <c r="AE915" i="3" s="1"/>
  <c r="F915" i="3"/>
  <c r="G915" i="3"/>
  <c r="I915" i="3" l="1"/>
  <c r="J915" i="3"/>
  <c r="M915" i="3"/>
  <c r="N915" i="3" s="1"/>
  <c r="V915" i="3"/>
  <c r="A916" i="3"/>
  <c r="B916" i="3" s="1"/>
  <c r="W915" i="3" l="1"/>
  <c r="L915" i="3"/>
  <c r="AC916" i="3"/>
  <c r="AA916" i="3"/>
  <c r="Z916" i="3"/>
  <c r="P916" i="3"/>
  <c r="Q916" i="3" s="1"/>
  <c r="R916" i="3" s="1"/>
  <c r="S916" i="3" s="1"/>
  <c r="AD916" i="3"/>
  <c r="U915" i="3" l="1"/>
  <c r="Y914" i="3"/>
  <c r="T916" i="3"/>
  <c r="D916" i="3" l="1"/>
  <c r="G916" i="3" s="1"/>
  <c r="AG916" i="3"/>
  <c r="AH916" i="3"/>
  <c r="E916" i="3"/>
  <c r="H916" i="3" s="1"/>
  <c r="K916" i="3" l="1"/>
  <c r="AE916" i="3" s="1"/>
  <c r="I916" i="3"/>
  <c r="J916" i="3"/>
  <c r="M916" i="3"/>
  <c r="N916" i="3" s="1"/>
  <c r="F916" i="3"/>
  <c r="L916" i="3" l="1"/>
  <c r="V916" i="3"/>
  <c r="W916" i="3" s="1"/>
  <c r="A917" i="3"/>
  <c r="B917" i="3" s="1"/>
  <c r="U916" i="3" l="1"/>
  <c r="Y915" i="3"/>
  <c r="AD917" i="3"/>
  <c r="AC917" i="3"/>
  <c r="Z917" i="3"/>
  <c r="P917" i="3"/>
  <c r="Q917" i="3" s="1"/>
  <c r="R917" i="3" s="1"/>
  <c r="S917" i="3" s="1"/>
  <c r="AA917" i="3"/>
  <c r="T917" i="3" l="1"/>
  <c r="AG917" i="3" s="1"/>
  <c r="E917" i="3" l="1"/>
  <c r="H917" i="3" s="1"/>
  <c r="K917" i="3" s="1"/>
  <c r="AE917" i="3" s="1"/>
  <c r="AH917" i="3"/>
  <c r="D917" i="3"/>
  <c r="F917" i="3" l="1"/>
  <c r="G917" i="3"/>
  <c r="J917" i="3" s="1"/>
  <c r="V917" i="3"/>
  <c r="A918" i="3"/>
  <c r="B918" i="3" s="1"/>
  <c r="M917" i="3" l="1"/>
  <c r="N917" i="3" s="1"/>
  <c r="I917" i="3"/>
  <c r="W917" i="3" s="1"/>
  <c r="L917" i="3"/>
  <c r="AC918" i="3"/>
  <c r="AD918" i="3"/>
  <c r="AA918" i="3"/>
  <c r="Z918" i="3"/>
  <c r="P918" i="3"/>
  <c r="Q918" i="3" s="1"/>
  <c r="R918" i="3" s="1"/>
  <c r="S918" i="3" s="1"/>
  <c r="T918" i="3" l="1"/>
  <c r="U917" i="3"/>
  <c r="Y916" i="3"/>
  <c r="E918" i="3" l="1"/>
  <c r="H918" i="3" s="1"/>
  <c r="K918" i="3" s="1"/>
  <c r="AE918" i="3" s="1"/>
  <c r="AH918" i="3"/>
  <c r="D918" i="3"/>
  <c r="G918" i="3" s="1"/>
  <c r="AG918" i="3"/>
  <c r="F918" i="3" l="1"/>
  <c r="I918" i="3"/>
  <c r="J918" i="3"/>
  <c r="M918" i="3"/>
  <c r="N918" i="3" s="1"/>
  <c r="V918" i="3"/>
  <c r="A919" i="3"/>
  <c r="B919" i="3" s="1"/>
  <c r="L918" i="3" l="1"/>
  <c r="W918" i="3"/>
  <c r="P919" i="3"/>
  <c r="Q919" i="3" s="1"/>
  <c r="R919" i="3" s="1"/>
  <c r="S919" i="3" s="1"/>
  <c r="Z919" i="3"/>
  <c r="AC919" i="3"/>
  <c r="AD919" i="3"/>
  <c r="AA919" i="3"/>
  <c r="U918" i="3" l="1"/>
  <c r="Y917" i="3"/>
  <c r="T919" i="3"/>
  <c r="AG919" i="3" s="1"/>
  <c r="E919" i="3" l="1"/>
  <c r="H919" i="3" s="1"/>
  <c r="K919" i="3" s="1"/>
  <c r="AE919" i="3" s="1"/>
  <c r="AH919" i="3"/>
  <c r="D919" i="3"/>
  <c r="V919" i="3" l="1"/>
  <c r="A920" i="3"/>
  <c r="B920" i="3" s="1"/>
  <c r="F919" i="3"/>
  <c r="G919" i="3"/>
  <c r="I919" i="3" l="1"/>
  <c r="W919" i="3" s="1"/>
  <c r="J919" i="3"/>
  <c r="M919" i="3"/>
  <c r="N919" i="3" s="1"/>
  <c r="AD920" i="3"/>
  <c r="AC920" i="3"/>
  <c r="P920" i="3"/>
  <c r="Q920" i="3" s="1"/>
  <c r="R920" i="3" s="1"/>
  <c r="S920" i="3" s="1"/>
  <c r="AA920" i="3"/>
  <c r="Z920" i="3"/>
  <c r="T920" i="3" l="1"/>
  <c r="L919" i="3"/>
  <c r="AH920" i="3" l="1"/>
  <c r="U919" i="3"/>
  <c r="E920" i="3" s="1"/>
  <c r="H920" i="3" s="1"/>
  <c r="AG920" i="3"/>
  <c r="Y918" i="3"/>
  <c r="D920" i="3" l="1"/>
  <c r="G920" i="3" s="1"/>
  <c r="K920" i="3"/>
  <c r="AE920" i="3" s="1"/>
  <c r="F920" i="3" l="1"/>
  <c r="V920" i="3"/>
  <c r="A921" i="3"/>
  <c r="B921" i="3" s="1"/>
  <c r="I920" i="3"/>
  <c r="J920" i="3"/>
  <c r="M920" i="3"/>
  <c r="N920" i="3" s="1"/>
  <c r="W920" i="3" l="1"/>
  <c r="L920" i="3"/>
  <c r="AA921" i="3"/>
  <c r="Z921" i="3"/>
  <c r="P921" i="3"/>
  <c r="Q921" i="3" s="1"/>
  <c r="R921" i="3" s="1"/>
  <c r="S921" i="3" s="1"/>
  <c r="AD921" i="3"/>
  <c r="AC921" i="3"/>
  <c r="U920" i="3" l="1"/>
  <c r="Y919" i="3"/>
  <c r="T921" i="3"/>
  <c r="AG921" i="3" s="1"/>
  <c r="E921" i="3" l="1"/>
  <c r="H921" i="3" s="1"/>
  <c r="K921" i="3" s="1"/>
  <c r="AE921" i="3" s="1"/>
  <c r="AH921" i="3"/>
  <c r="D921" i="3"/>
  <c r="G921" i="3" s="1"/>
  <c r="F921" i="3" l="1"/>
  <c r="I921" i="3"/>
  <c r="J921" i="3"/>
  <c r="M921" i="3"/>
  <c r="N921" i="3" s="1"/>
  <c r="V921" i="3"/>
  <c r="A922" i="3"/>
  <c r="B922" i="3" s="1"/>
  <c r="W921" i="3" l="1"/>
  <c r="L921" i="3"/>
  <c r="AC922" i="3"/>
  <c r="AA922" i="3"/>
  <c r="Z922" i="3"/>
  <c r="P922" i="3"/>
  <c r="Q922" i="3" s="1"/>
  <c r="R922" i="3" s="1"/>
  <c r="S922" i="3" s="1"/>
  <c r="AD922" i="3"/>
  <c r="U921" i="3" l="1"/>
  <c r="Y920" i="3"/>
  <c r="T922" i="3"/>
  <c r="E922" i="3" l="1"/>
  <c r="H922" i="3" s="1"/>
  <c r="K922" i="3" s="1"/>
  <c r="AE922" i="3" s="1"/>
  <c r="AH922" i="3"/>
  <c r="D922" i="3"/>
  <c r="AG922" i="3"/>
  <c r="F922" i="3" l="1"/>
  <c r="G922" i="3"/>
  <c r="V922" i="3"/>
  <c r="A923" i="3"/>
  <c r="B923" i="3" s="1"/>
  <c r="AD923" i="3" l="1"/>
  <c r="AC923" i="3"/>
  <c r="Z923" i="3"/>
  <c r="AA923" i="3"/>
  <c r="P923" i="3"/>
  <c r="Q923" i="3" s="1"/>
  <c r="R923" i="3" s="1"/>
  <c r="S923" i="3" s="1"/>
  <c r="I922" i="3"/>
  <c r="W922" i="3" s="1"/>
  <c r="J922" i="3"/>
  <c r="M922" i="3"/>
  <c r="N922" i="3" s="1"/>
  <c r="L922" i="3" l="1"/>
  <c r="T923" i="3"/>
  <c r="AH923" i="3" l="1"/>
  <c r="AG923" i="3"/>
  <c r="U922" i="3"/>
  <c r="D923" i="3" s="1"/>
  <c r="Y921" i="3"/>
  <c r="E923" i="3" l="1"/>
  <c r="H923" i="3" s="1"/>
  <c r="K923" i="3" s="1"/>
  <c r="AE923" i="3" s="1"/>
  <c r="G923" i="3"/>
  <c r="F923" i="3" l="1"/>
  <c r="V923" i="3"/>
  <c r="A924" i="3"/>
  <c r="B924" i="3" s="1"/>
  <c r="I923" i="3"/>
  <c r="J923" i="3"/>
  <c r="M923" i="3"/>
  <c r="N923" i="3" s="1"/>
  <c r="W923" i="3" l="1"/>
  <c r="L923" i="3"/>
  <c r="Z924" i="3"/>
  <c r="AC924" i="3"/>
  <c r="P924" i="3"/>
  <c r="Q924" i="3" s="1"/>
  <c r="R924" i="3" s="1"/>
  <c r="S924" i="3" s="1"/>
  <c r="AA924" i="3"/>
  <c r="U923" i="3" l="1"/>
  <c r="Y922" i="3"/>
  <c r="T924" i="3"/>
  <c r="AH924" i="3" s="1"/>
  <c r="D924" i="3" l="1"/>
  <c r="G924" i="3" s="1"/>
  <c r="AG924" i="3"/>
  <c r="E924" i="3"/>
  <c r="H924" i="3" s="1"/>
  <c r="K924" i="3" s="1"/>
  <c r="AE924" i="3" s="1"/>
  <c r="F924" i="3" l="1"/>
  <c r="I924" i="3"/>
  <c r="J924" i="3"/>
  <c r="AD924" i="3" s="1"/>
  <c r="M924" i="3"/>
  <c r="N924" i="3" s="1"/>
  <c r="V924" i="3"/>
  <c r="A925" i="3"/>
  <c r="B925" i="3" s="1"/>
  <c r="W924" i="3" l="1"/>
  <c r="L924" i="3"/>
  <c r="Z925" i="3"/>
  <c r="AA925" i="3"/>
  <c r="AD925" i="3"/>
  <c r="AC925" i="3"/>
  <c r="P925" i="3"/>
  <c r="Q925" i="3" s="1"/>
  <c r="R925" i="3" s="1"/>
  <c r="S925" i="3" s="1"/>
  <c r="T925" i="3" l="1"/>
  <c r="AG925" i="3" s="1"/>
  <c r="U924" i="3"/>
  <c r="Y923" i="3"/>
  <c r="AH925" i="3" l="1"/>
  <c r="E925" i="3"/>
  <c r="H925" i="3" s="1"/>
  <c r="D925" i="3"/>
  <c r="K925" i="3" l="1"/>
  <c r="AE925" i="3" s="1"/>
  <c r="F925" i="3"/>
  <c r="G925" i="3"/>
  <c r="I925" i="3" l="1"/>
  <c r="J925" i="3"/>
  <c r="M925" i="3"/>
  <c r="N925" i="3" s="1"/>
  <c r="V925" i="3"/>
  <c r="A926" i="3"/>
  <c r="B926" i="3" s="1"/>
  <c r="W925" i="3" l="1"/>
  <c r="L925" i="3"/>
  <c r="AC926" i="3"/>
  <c r="AA926" i="3"/>
  <c r="AD926" i="3"/>
  <c r="P926" i="3"/>
  <c r="Q926" i="3" s="1"/>
  <c r="R926" i="3" s="1"/>
  <c r="S926" i="3" s="1"/>
  <c r="Z926" i="3"/>
  <c r="U925" i="3" l="1"/>
  <c r="Y924" i="3"/>
  <c r="T926" i="3"/>
  <c r="AG926" i="3" s="1"/>
  <c r="E926" i="3" l="1"/>
  <c r="H926" i="3" s="1"/>
  <c r="K926" i="3" s="1"/>
  <c r="AE926" i="3" s="1"/>
  <c r="AH926" i="3"/>
  <c r="D926" i="3"/>
  <c r="V926" i="3" l="1"/>
  <c r="A927" i="3"/>
  <c r="B927" i="3" s="1"/>
  <c r="F926" i="3"/>
  <c r="G926" i="3"/>
  <c r="I926" i="3" l="1"/>
  <c r="W926" i="3" s="1"/>
  <c r="J926" i="3"/>
  <c r="M926" i="3"/>
  <c r="N926" i="3" s="1"/>
  <c r="AD927" i="3"/>
  <c r="Z927" i="3"/>
  <c r="P927" i="3"/>
  <c r="Q927" i="3" s="1"/>
  <c r="R927" i="3" s="1"/>
  <c r="S927" i="3" s="1"/>
  <c r="AA927" i="3"/>
  <c r="AC927" i="3"/>
  <c r="T927" i="3" l="1"/>
  <c r="L926" i="3"/>
  <c r="U926" i="3" l="1"/>
  <c r="D927" i="3" s="1"/>
  <c r="AG927" i="3"/>
  <c r="AH927" i="3"/>
  <c r="Y925" i="3"/>
  <c r="G927" i="3" l="1"/>
  <c r="E927" i="3"/>
  <c r="H927" i="3" s="1"/>
  <c r="F927" i="3" l="1"/>
  <c r="K927" i="3"/>
  <c r="AE927" i="3" s="1"/>
  <c r="I927" i="3"/>
  <c r="J927" i="3"/>
  <c r="M927" i="3"/>
  <c r="N927" i="3" s="1"/>
  <c r="L927" i="3" l="1"/>
  <c r="V927" i="3"/>
  <c r="W927" i="3" s="1"/>
  <c r="A928" i="3"/>
  <c r="B928" i="3" s="1"/>
  <c r="U927" i="3" l="1"/>
  <c r="Y926" i="3"/>
  <c r="AC928" i="3"/>
  <c r="AD928" i="3"/>
  <c r="AA928" i="3"/>
  <c r="Z928" i="3"/>
  <c r="P928" i="3"/>
  <c r="Q928" i="3" s="1"/>
  <c r="R928" i="3" s="1"/>
  <c r="S928" i="3" s="1"/>
  <c r="T928" i="3" l="1"/>
  <c r="D928" i="3" s="1"/>
  <c r="AH928" i="3" l="1"/>
  <c r="E928" i="3"/>
  <c r="H928" i="3" s="1"/>
  <c r="K928" i="3" s="1"/>
  <c r="AE928" i="3" s="1"/>
  <c r="AG928" i="3"/>
  <c r="G928" i="3"/>
  <c r="F928" i="3" l="1"/>
  <c r="I928" i="3"/>
  <c r="J928" i="3"/>
  <c r="M928" i="3"/>
  <c r="N928" i="3" s="1"/>
  <c r="V928" i="3"/>
  <c r="A929" i="3"/>
  <c r="B929" i="3" s="1"/>
  <c r="L928" i="3" l="1"/>
  <c r="P929" i="3"/>
  <c r="Q929" i="3" s="1"/>
  <c r="R929" i="3" s="1"/>
  <c r="S929" i="3" s="1"/>
  <c r="AD929" i="3"/>
  <c r="AC929" i="3"/>
  <c r="Z929" i="3"/>
  <c r="AA929" i="3"/>
  <c r="W928" i="3"/>
  <c r="T929" i="3" l="1"/>
  <c r="AG929" i="3" s="1"/>
  <c r="U928" i="3"/>
  <c r="Y927" i="3"/>
  <c r="AH929" i="3" l="1"/>
  <c r="D929" i="3"/>
  <c r="E929" i="3"/>
  <c r="H929" i="3" s="1"/>
  <c r="F929" i="3" l="1"/>
  <c r="G929" i="3"/>
  <c r="K929" i="3"/>
  <c r="AE929" i="3" s="1"/>
  <c r="V929" i="3" l="1"/>
  <c r="A930" i="3"/>
  <c r="B930" i="3" s="1"/>
  <c r="I929" i="3"/>
  <c r="J929" i="3"/>
  <c r="M929" i="3"/>
  <c r="N929" i="3" s="1"/>
  <c r="L929" i="3" l="1"/>
  <c r="AD930" i="3"/>
  <c r="P930" i="3"/>
  <c r="Q930" i="3" s="1"/>
  <c r="R930" i="3" s="1"/>
  <c r="S930" i="3" s="1"/>
  <c r="AC930" i="3"/>
  <c r="Z930" i="3"/>
  <c r="AA930" i="3"/>
  <c r="W929" i="3"/>
  <c r="T930" i="3" l="1"/>
  <c r="U929" i="3"/>
  <c r="Y928" i="3"/>
  <c r="D930" i="3" l="1"/>
  <c r="G930" i="3" s="1"/>
  <c r="AH930" i="3"/>
  <c r="E930" i="3"/>
  <c r="H930" i="3" s="1"/>
  <c r="AG930" i="3"/>
  <c r="F930" i="3" l="1"/>
  <c r="I930" i="3"/>
  <c r="J930" i="3"/>
  <c r="M930" i="3"/>
  <c r="N930" i="3" s="1"/>
  <c r="K930" i="3"/>
  <c r="AE930" i="3" s="1"/>
  <c r="V930" i="3" l="1"/>
  <c r="W930" i="3" s="1"/>
  <c r="A931" i="3"/>
  <c r="B931" i="3" s="1"/>
  <c r="L930" i="3"/>
  <c r="U930" i="3" l="1"/>
  <c r="Y929" i="3"/>
  <c r="AC931" i="3"/>
  <c r="AA931" i="3"/>
  <c r="Z931" i="3"/>
  <c r="P931" i="3"/>
  <c r="Q931" i="3" s="1"/>
  <c r="R931" i="3" s="1"/>
  <c r="S931" i="3" s="1"/>
  <c r="AD931" i="3"/>
  <c r="T931" i="3" l="1"/>
  <c r="AH931" i="3" s="1"/>
  <c r="E931" i="3" l="1"/>
  <c r="H931" i="3" s="1"/>
  <c r="D931" i="3"/>
  <c r="AG931" i="3"/>
  <c r="K931" i="3" l="1"/>
  <c r="AE931" i="3" s="1"/>
  <c r="F931" i="3"/>
  <c r="G931" i="3"/>
  <c r="I931" i="3" l="1"/>
  <c r="J931" i="3"/>
  <c r="M931" i="3"/>
  <c r="N931" i="3" s="1"/>
  <c r="V931" i="3"/>
  <c r="A932" i="3"/>
  <c r="B932" i="3" s="1"/>
  <c r="W931" i="3" l="1"/>
  <c r="L931" i="3"/>
  <c r="AA932" i="3"/>
  <c r="AD932" i="3"/>
  <c r="Z932" i="3"/>
  <c r="AC932" i="3"/>
  <c r="P932" i="3"/>
  <c r="Q932" i="3" s="1"/>
  <c r="R932" i="3" s="1"/>
  <c r="S932" i="3" s="1"/>
  <c r="U931" i="3" l="1"/>
  <c r="Y930" i="3"/>
  <c r="T932" i="3"/>
  <c r="AH932" i="3" s="1"/>
  <c r="E932" i="3" l="1"/>
  <c r="H932" i="3" s="1"/>
  <c r="D932" i="3"/>
  <c r="AG932" i="3"/>
  <c r="K932" i="3" l="1"/>
  <c r="AE932" i="3" s="1"/>
  <c r="F932" i="3"/>
  <c r="G932" i="3"/>
  <c r="V932" i="3" l="1"/>
  <c r="A933" i="3"/>
  <c r="B933" i="3" s="1"/>
  <c r="I932" i="3"/>
  <c r="J932" i="3"/>
  <c r="M932" i="3"/>
  <c r="N932" i="3" s="1"/>
  <c r="L932" i="3" l="1"/>
  <c r="W932" i="3"/>
  <c r="AA933" i="3"/>
  <c r="P933" i="3"/>
  <c r="Q933" i="3" s="1"/>
  <c r="R933" i="3" s="1"/>
  <c r="S933" i="3" s="1"/>
  <c r="Z933" i="3"/>
  <c r="AD933" i="3"/>
  <c r="AC933" i="3"/>
  <c r="U932" i="3" l="1"/>
  <c r="Y931" i="3"/>
  <c r="T933" i="3"/>
  <c r="D933" i="3" l="1"/>
  <c r="G933" i="3" s="1"/>
  <c r="AH933" i="3"/>
  <c r="AG933" i="3"/>
  <c r="E933" i="3"/>
  <c r="H933" i="3" s="1"/>
  <c r="K933" i="3" l="1"/>
  <c r="AE933" i="3" s="1"/>
  <c r="I933" i="3"/>
  <c r="J933" i="3"/>
  <c r="M933" i="3"/>
  <c r="N933" i="3" s="1"/>
  <c r="F933" i="3"/>
  <c r="V933" i="3" l="1"/>
  <c r="W933" i="3" s="1"/>
  <c r="A934" i="3"/>
  <c r="B934" i="3" s="1"/>
  <c r="L933" i="3"/>
  <c r="U933" i="3" l="1"/>
  <c r="Y932" i="3"/>
  <c r="AC934" i="3"/>
  <c r="Z934" i="3"/>
  <c r="P934" i="3"/>
  <c r="Q934" i="3" s="1"/>
  <c r="R934" i="3" s="1"/>
  <c r="S934" i="3" s="1"/>
  <c r="AA934" i="3"/>
  <c r="T934" i="3" l="1"/>
  <c r="AH934" i="3" s="1"/>
  <c r="AG934" i="3" l="1"/>
  <c r="D934" i="3"/>
  <c r="E934" i="3"/>
  <c r="H934" i="3" s="1"/>
  <c r="K934" i="3" l="1"/>
  <c r="AE934" i="3" s="1"/>
  <c r="F934" i="3"/>
  <c r="G934" i="3"/>
  <c r="V934" i="3" l="1"/>
  <c r="A935" i="3"/>
  <c r="B935" i="3" s="1"/>
  <c r="I934" i="3"/>
  <c r="J934" i="3"/>
  <c r="AD934" i="3" s="1"/>
  <c r="M934" i="3"/>
  <c r="N934" i="3" s="1"/>
  <c r="W934" i="3" l="1"/>
  <c r="L934" i="3"/>
  <c r="AD935" i="3"/>
  <c r="P935" i="3"/>
  <c r="Q935" i="3" s="1"/>
  <c r="R935" i="3" s="1"/>
  <c r="S935" i="3" s="1"/>
  <c r="AA935" i="3"/>
  <c r="AC935" i="3"/>
  <c r="Z935" i="3"/>
  <c r="T935" i="3" l="1"/>
  <c r="U934" i="3"/>
  <c r="Y933" i="3"/>
  <c r="E935" i="3" l="1"/>
  <c r="H935" i="3" s="1"/>
  <c r="K935" i="3" s="1"/>
  <c r="AE935" i="3" s="1"/>
  <c r="AH935" i="3"/>
  <c r="AG935" i="3"/>
  <c r="D935" i="3"/>
  <c r="V935" i="3" l="1"/>
  <c r="A936" i="3"/>
  <c r="B936" i="3" s="1"/>
  <c r="F935" i="3"/>
  <c r="G935" i="3"/>
  <c r="I935" i="3" l="1"/>
  <c r="W935" i="3" s="1"/>
  <c r="J935" i="3"/>
  <c r="M935" i="3"/>
  <c r="N935" i="3" s="1"/>
  <c r="P936" i="3"/>
  <c r="Q936" i="3" s="1"/>
  <c r="R936" i="3" s="1"/>
  <c r="S936" i="3" s="1"/>
  <c r="AD936" i="3"/>
  <c r="AC936" i="3"/>
  <c r="Z936" i="3"/>
  <c r="AA936" i="3"/>
  <c r="T936" i="3" l="1"/>
  <c r="L935" i="3"/>
  <c r="AH936" i="3" l="1"/>
  <c r="U935" i="3"/>
  <c r="E936" i="3" s="1"/>
  <c r="H936" i="3" s="1"/>
  <c r="AG936" i="3"/>
  <c r="Y934" i="3"/>
  <c r="D936" i="3" l="1"/>
  <c r="F936" i="3" s="1"/>
  <c r="K936" i="3"/>
  <c r="AE936" i="3" s="1"/>
  <c r="G936" i="3" l="1"/>
  <c r="J936" i="3" s="1"/>
  <c r="V936" i="3"/>
  <c r="A937" i="3"/>
  <c r="B937" i="3" s="1"/>
  <c r="M936" i="3" l="1"/>
  <c r="N936" i="3" s="1"/>
  <c r="I936" i="3"/>
  <c r="W936" i="3" s="1"/>
  <c r="L936" i="3"/>
  <c r="AD937" i="3"/>
  <c r="P937" i="3"/>
  <c r="Q937" i="3" s="1"/>
  <c r="R937" i="3" s="1"/>
  <c r="S937" i="3" s="1"/>
  <c r="AA937" i="3"/>
  <c r="Z937" i="3"/>
  <c r="AC937" i="3"/>
  <c r="U936" i="3" l="1"/>
  <c r="Y935" i="3"/>
  <c r="T937" i="3"/>
  <c r="AG937" i="3" s="1"/>
  <c r="E937" i="3" l="1"/>
  <c r="H937" i="3" s="1"/>
  <c r="K937" i="3" s="1"/>
  <c r="AE937" i="3" s="1"/>
  <c r="D937" i="3"/>
  <c r="G937" i="3" s="1"/>
  <c r="AH937" i="3"/>
  <c r="F937" i="3" l="1"/>
  <c r="V937" i="3"/>
  <c r="A938" i="3"/>
  <c r="B938" i="3" s="1"/>
  <c r="I937" i="3"/>
  <c r="J937" i="3"/>
  <c r="M937" i="3"/>
  <c r="N937" i="3" s="1"/>
  <c r="W937" i="3" l="1"/>
  <c r="L937" i="3"/>
  <c r="Z938" i="3"/>
  <c r="P938" i="3"/>
  <c r="Q938" i="3" s="1"/>
  <c r="R938" i="3" s="1"/>
  <c r="S938" i="3" s="1"/>
  <c r="AA938" i="3"/>
  <c r="AC938" i="3"/>
  <c r="AD938" i="3"/>
  <c r="T938" i="3" l="1"/>
  <c r="AG938" i="3" s="1"/>
  <c r="U937" i="3"/>
  <c r="Y936" i="3"/>
  <c r="D938" i="3" l="1"/>
  <c r="AH938" i="3"/>
  <c r="E938" i="3"/>
  <c r="H938" i="3" s="1"/>
  <c r="F938" i="3" l="1"/>
  <c r="G938" i="3"/>
  <c r="J938" i="3" s="1"/>
  <c r="K938" i="3"/>
  <c r="AE938" i="3" s="1"/>
  <c r="I938" i="3" l="1"/>
  <c r="M938" i="3"/>
  <c r="N938" i="3" s="1"/>
  <c r="V938" i="3"/>
  <c r="A939" i="3"/>
  <c r="B939" i="3" s="1"/>
  <c r="L938" i="3"/>
  <c r="W938" i="3" l="1"/>
  <c r="U938" i="3"/>
  <c r="Y937" i="3"/>
  <c r="AA939" i="3"/>
  <c r="P939" i="3"/>
  <c r="Q939" i="3" s="1"/>
  <c r="R939" i="3" s="1"/>
  <c r="S939" i="3" s="1"/>
  <c r="Z939" i="3"/>
  <c r="AD939" i="3"/>
  <c r="AC939" i="3"/>
  <c r="T939" i="3" l="1"/>
  <c r="E939" i="3" s="1"/>
  <c r="H939" i="3" s="1"/>
  <c r="K939" i="3" l="1"/>
  <c r="AE939" i="3" s="1"/>
  <c r="AG939" i="3"/>
  <c r="D939" i="3"/>
  <c r="AH939" i="3"/>
  <c r="F939" i="3" l="1"/>
  <c r="G939" i="3"/>
  <c r="V939" i="3"/>
  <c r="A940" i="3"/>
  <c r="B940" i="3" s="1"/>
  <c r="AC940" i="3" l="1"/>
  <c r="Z940" i="3"/>
  <c r="P940" i="3"/>
  <c r="Q940" i="3" s="1"/>
  <c r="R940" i="3" s="1"/>
  <c r="S940" i="3" s="1"/>
  <c r="AA940" i="3"/>
  <c r="AD940" i="3"/>
  <c r="I939" i="3"/>
  <c r="W939" i="3" s="1"/>
  <c r="J939" i="3"/>
  <c r="M939" i="3"/>
  <c r="N939" i="3" s="1"/>
  <c r="T940" i="3" l="1"/>
  <c r="L939" i="3"/>
  <c r="AG940" i="3" l="1"/>
  <c r="AH940" i="3"/>
  <c r="U939" i="3"/>
  <c r="D940" i="3" s="1"/>
  <c r="Y938" i="3"/>
  <c r="E940" i="3" l="1"/>
  <c r="H940" i="3" s="1"/>
  <c r="K940" i="3" s="1"/>
  <c r="AE940" i="3" s="1"/>
  <c r="G940" i="3"/>
  <c r="F940" i="3" l="1"/>
  <c r="I940" i="3"/>
  <c r="J940" i="3"/>
  <c r="M940" i="3"/>
  <c r="N940" i="3" s="1"/>
  <c r="V940" i="3"/>
  <c r="A941" i="3"/>
  <c r="B941" i="3" s="1"/>
  <c r="W940" i="3" l="1"/>
  <c r="L940" i="3"/>
  <c r="AD941" i="3"/>
  <c r="P941" i="3"/>
  <c r="Q941" i="3" s="1"/>
  <c r="R941" i="3" s="1"/>
  <c r="S941" i="3" s="1"/>
  <c r="Z941" i="3"/>
  <c r="AC941" i="3"/>
  <c r="AA941" i="3"/>
  <c r="T941" i="3" l="1"/>
  <c r="U940" i="3"/>
  <c r="Y939" i="3"/>
  <c r="E941" i="3" l="1"/>
  <c r="H941" i="3" s="1"/>
  <c r="K941" i="3" s="1"/>
  <c r="AE941" i="3" s="1"/>
  <c r="AH941" i="3"/>
  <c r="AG941" i="3"/>
  <c r="D941" i="3"/>
  <c r="F941" i="3" l="1"/>
  <c r="G941" i="3"/>
  <c r="V941" i="3"/>
  <c r="A942" i="3"/>
  <c r="B942" i="3" s="1"/>
  <c r="Z942" i="3" l="1"/>
  <c r="AD942" i="3"/>
  <c r="AC942" i="3"/>
  <c r="AA942" i="3"/>
  <c r="P942" i="3"/>
  <c r="Q942" i="3" s="1"/>
  <c r="R942" i="3" s="1"/>
  <c r="S942" i="3" s="1"/>
  <c r="I941" i="3"/>
  <c r="W941" i="3" s="1"/>
  <c r="J941" i="3"/>
  <c r="M941" i="3"/>
  <c r="N941" i="3" s="1"/>
  <c r="T942" i="3" l="1"/>
  <c r="L941" i="3"/>
  <c r="U941" i="3" l="1"/>
  <c r="E942" i="3" s="1"/>
  <c r="H942" i="3" s="1"/>
  <c r="AG942" i="3"/>
  <c r="AH942" i="3"/>
  <c r="Y940" i="3"/>
  <c r="D942" i="3" l="1"/>
  <c r="G942" i="3" s="1"/>
  <c r="K942" i="3"/>
  <c r="AE942" i="3" s="1"/>
  <c r="F942" i="3" l="1"/>
  <c r="I942" i="3"/>
  <c r="J942" i="3"/>
  <c r="M942" i="3"/>
  <c r="N942" i="3" s="1"/>
  <c r="V942" i="3"/>
  <c r="A943" i="3"/>
  <c r="B943" i="3" s="1"/>
  <c r="W942" i="3" l="1"/>
  <c r="L942" i="3"/>
  <c r="AA943" i="3"/>
  <c r="AC943" i="3"/>
  <c r="P943" i="3"/>
  <c r="Q943" i="3" s="1"/>
  <c r="R943" i="3" s="1"/>
  <c r="S943" i="3" s="1"/>
  <c r="Z943" i="3"/>
  <c r="AD943" i="3"/>
  <c r="U942" i="3" l="1"/>
  <c r="Y941" i="3"/>
  <c r="T943" i="3"/>
  <c r="AG943" i="3" s="1"/>
  <c r="E943" i="3" l="1"/>
  <c r="H943" i="3" s="1"/>
  <c r="K943" i="3" s="1"/>
  <c r="AE943" i="3" s="1"/>
  <c r="D943" i="3"/>
  <c r="AH943" i="3"/>
  <c r="F943" i="3" l="1"/>
  <c r="G943" i="3"/>
  <c r="M943" i="3" s="1"/>
  <c r="N943" i="3" s="1"/>
  <c r="V943" i="3"/>
  <c r="A944" i="3"/>
  <c r="B944" i="3" s="1"/>
  <c r="I943" i="3" l="1"/>
  <c r="W943" i="3" s="1"/>
  <c r="J943" i="3"/>
  <c r="L943" i="3" s="1"/>
  <c r="P944" i="3"/>
  <c r="Q944" i="3" s="1"/>
  <c r="R944" i="3" s="1"/>
  <c r="S944" i="3" s="1"/>
  <c r="AC944" i="3"/>
  <c r="Z944" i="3"/>
  <c r="AA944" i="3"/>
  <c r="U943" i="3" l="1"/>
  <c r="Y942" i="3"/>
  <c r="T944" i="3"/>
  <c r="AH944" i="3" s="1"/>
  <c r="D944" i="3" l="1"/>
  <c r="E944" i="3"/>
  <c r="H944" i="3" s="1"/>
  <c r="AG944" i="3"/>
  <c r="F944" i="3" l="1"/>
  <c r="G944" i="3"/>
  <c r="K944" i="3"/>
  <c r="AE944" i="3" s="1"/>
  <c r="I944" i="3" l="1"/>
  <c r="J944" i="3"/>
  <c r="AD944" i="3" s="1"/>
  <c r="M944" i="3"/>
  <c r="N944" i="3" s="1"/>
  <c r="V944" i="3"/>
  <c r="A945" i="3"/>
  <c r="B945" i="3" s="1"/>
  <c r="W944" i="3" l="1"/>
  <c r="L944" i="3"/>
  <c r="P945" i="3"/>
  <c r="Q945" i="3" s="1"/>
  <c r="R945" i="3" s="1"/>
  <c r="S945" i="3" s="1"/>
  <c r="AC945" i="3"/>
  <c r="Z945" i="3"/>
  <c r="AD945" i="3"/>
  <c r="AA945" i="3"/>
  <c r="U944" i="3" l="1"/>
  <c r="Y943" i="3"/>
  <c r="T945" i="3"/>
  <c r="D945" i="3" l="1"/>
  <c r="G945" i="3" s="1"/>
  <c r="AH945" i="3"/>
  <c r="E945" i="3"/>
  <c r="H945" i="3" s="1"/>
  <c r="AG945" i="3"/>
  <c r="F945" i="3" l="1"/>
  <c r="I945" i="3"/>
  <c r="J945" i="3"/>
  <c r="M945" i="3"/>
  <c r="N945" i="3" s="1"/>
  <c r="K945" i="3"/>
  <c r="AE945" i="3" s="1"/>
  <c r="V945" i="3" l="1"/>
  <c r="W945" i="3" s="1"/>
  <c r="A946" i="3"/>
  <c r="B946" i="3" s="1"/>
  <c r="L945" i="3"/>
  <c r="U945" i="3" l="1"/>
  <c r="Y944" i="3"/>
  <c r="P946" i="3"/>
  <c r="Q946" i="3" s="1"/>
  <c r="R946" i="3" s="1"/>
  <c r="S946" i="3" s="1"/>
  <c r="AC946" i="3"/>
  <c r="AA946" i="3"/>
  <c r="AD946" i="3"/>
  <c r="Z946" i="3"/>
  <c r="T946" i="3" l="1"/>
  <c r="E946" i="3" s="1"/>
  <c r="H946" i="3" s="1"/>
  <c r="K946" i="3" l="1"/>
  <c r="AE946" i="3" s="1"/>
  <c r="AG946" i="3"/>
  <c r="D946" i="3"/>
  <c r="AH946" i="3"/>
  <c r="F946" i="3" l="1"/>
  <c r="G946" i="3"/>
  <c r="V946" i="3"/>
  <c r="A947" i="3"/>
  <c r="B947" i="3" s="1"/>
  <c r="Z947" i="3" l="1"/>
  <c r="AC947" i="3"/>
  <c r="P947" i="3"/>
  <c r="Q947" i="3" s="1"/>
  <c r="R947" i="3" s="1"/>
  <c r="S947" i="3" s="1"/>
  <c r="AA947" i="3"/>
  <c r="AD947" i="3"/>
  <c r="I946" i="3"/>
  <c r="W946" i="3" s="1"/>
  <c r="J946" i="3"/>
  <c r="M946" i="3"/>
  <c r="N946" i="3" s="1"/>
  <c r="L946" i="3" l="1"/>
  <c r="T947" i="3"/>
  <c r="AH947" i="3" l="1"/>
  <c r="AG947" i="3"/>
  <c r="U946" i="3"/>
  <c r="E947" i="3" s="1"/>
  <c r="H947" i="3" s="1"/>
  <c r="Y945" i="3"/>
  <c r="D947" i="3" l="1"/>
  <c r="G947" i="3" s="1"/>
  <c r="K947" i="3"/>
  <c r="AE947" i="3" s="1"/>
  <c r="F947" i="3" l="1"/>
  <c r="V947" i="3"/>
  <c r="A948" i="3"/>
  <c r="B948" i="3" s="1"/>
  <c r="I947" i="3"/>
  <c r="J947" i="3"/>
  <c r="M947" i="3"/>
  <c r="N947" i="3" s="1"/>
  <c r="W947" i="3" l="1"/>
  <c r="L947" i="3"/>
  <c r="P948" i="3"/>
  <c r="Q948" i="3" s="1"/>
  <c r="R948" i="3" s="1"/>
  <c r="S948" i="3" s="1"/>
  <c r="AA948" i="3"/>
  <c r="AD948" i="3"/>
  <c r="Z948" i="3"/>
  <c r="AC948" i="3"/>
  <c r="U947" i="3" l="1"/>
  <c r="Y946" i="3"/>
  <c r="T948" i="3"/>
  <c r="AH948" i="3" s="1"/>
  <c r="AG948" i="3" l="1"/>
  <c r="E948" i="3"/>
  <c r="H948" i="3" s="1"/>
  <c r="D948" i="3"/>
  <c r="K948" i="3" l="1"/>
  <c r="AE948" i="3" s="1"/>
  <c r="F948" i="3"/>
  <c r="G948" i="3"/>
  <c r="I948" i="3" l="1"/>
  <c r="J948" i="3"/>
  <c r="M948" i="3"/>
  <c r="N948" i="3" s="1"/>
  <c r="V948" i="3"/>
  <c r="A949" i="3"/>
  <c r="B949" i="3" s="1"/>
  <c r="W948" i="3" l="1"/>
  <c r="L948" i="3"/>
  <c r="AD949" i="3"/>
  <c r="AA949" i="3"/>
  <c r="AC949" i="3"/>
  <c r="Z949" i="3"/>
  <c r="P949" i="3"/>
  <c r="Q949" i="3" s="1"/>
  <c r="R949" i="3" s="1"/>
  <c r="S949" i="3" s="1"/>
  <c r="U948" i="3" l="1"/>
  <c r="Y947" i="3"/>
  <c r="T949" i="3"/>
  <c r="AH949" i="3" s="1"/>
  <c r="AG949" i="3" l="1"/>
  <c r="D949" i="3"/>
  <c r="G949" i="3" s="1"/>
  <c r="E949" i="3"/>
  <c r="H949" i="3" s="1"/>
  <c r="K949" i="3" s="1"/>
  <c r="AE949" i="3" s="1"/>
  <c r="F949" i="3" l="1"/>
  <c r="I949" i="3"/>
  <c r="J949" i="3"/>
  <c r="M949" i="3"/>
  <c r="N949" i="3" s="1"/>
  <c r="V949" i="3"/>
  <c r="A950" i="3"/>
  <c r="B950" i="3" s="1"/>
  <c r="W949" i="3" l="1"/>
  <c r="L949" i="3"/>
  <c r="Z950" i="3"/>
  <c r="AC950" i="3"/>
  <c r="P950" i="3"/>
  <c r="Q950" i="3" s="1"/>
  <c r="R950" i="3" s="1"/>
  <c r="S950" i="3" s="1"/>
  <c r="AD950" i="3"/>
  <c r="AA950" i="3"/>
  <c r="T950" i="3" l="1"/>
  <c r="U949" i="3"/>
  <c r="Y948" i="3"/>
  <c r="D950" i="3" l="1"/>
  <c r="G950" i="3" s="1"/>
  <c r="AG950" i="3"/>
  <c r="E950" i="3"/>
  <c r="H950" i="3" s="1"/>
  <c r="K950" i="3" s="1"/>
  <c r="AE950" i="3" s="1"/>
  <c r="AH950" i="3"/>
  <c r="F950" i="3" l="1"/>
  <c r="I950" i="3"/>
  <c r="J950" i="3"/>
  <c r="M950" i="3"/>
  <c r="N950" i="3" s="1"/>
  <c r="V950" i="3"/>
  <c r="A951" i="3"/>
  <c r="B951" i="3" s="1"/>
  <c r="W950" i="3" l="1"/>
  <c r="P951" i="3"/>
  <c r="Q951" i="3" s="1"/>
  <c r="R951" i="3" s="1"/>
  <c r="S951" i="3" s="1"/>
  <c r="AA951" i="3"/>
  <c r="AC951" i="3"/>
  <c r="AD951" i="3"/>
  <c r="Z951" i="3"/>
  <c r="L950" i="3"/>
  <c r="T951" i="3" l="1"/>
  <c r="U950" i="3"/>
  <c r="Y949" i="3"/>
  <c r="D951" i="3" l="1"/>
  <c r="G951" i="3" s="1"/>
  <c r="AH951" i="3"/>
  <c r="AG951" i="3"/>
  <c r="E951" i="3"/>
  <c r="H951" i="3" s="1"/>
  <c r="K951" i="3" s="1"/>
  <c r="AE951" i="3" s="1"/>
  <c r="F951" i="3" l="1"/>
  <c r="I951" i="3"/>
  <c r="J951" i="3"/>
  <c r="M951" i="3"/>
  <c r="N951" i="3" s="1"/>
  <c r="V951" i="3"/>
  <c r="A952" i="3"/>
  <c r="B952" i="3" s="1"/>
  <c r="AC952" i="3" l="1"/>
  <c r="Z952" i="3"/>
  <c r="AD952" i="3"/>
  <c r="P952" i="3"/>
  <c r="Q952" i="3" s="1"/>
  <c r="R952" i="3" s="1"/>
  <c r="S952" i="3" s="1"/>
  <c r="AA952" i="3"/>
  <c r="W951" i="3"/>
  <c r="L951" i="3"/>
  <c r="U951" i="3" l="1"/>
  <c r="Y950" i="3"/>
  <c r="T952" i="3"/>
  <c r="D952" i="3" l="1"/>
  <c r="G952" i="3" s="1"/>
  <c r="E952" i="3"/>
  <c r="H952" i="3" s="1"/>
  <c r="AH952" i="3"/>
  <c r="AG952" i="3"/>
  <c r="F952" i="3" l="1"/>
  <c r="I952" i="3"/>
  <c r="J952" i="3"/>
  <c r="M952" i="3"/>
  <c r="N952" i="3" s="1"/>
  <c r="K952" i="3"/>
  <c r="AE952" i="3" s="1"/>
  <c r="V952" i="3" l="1"/>
  <c r="W952" i="3" s="1"/>
  <c r="A953" i="3"/>
  <c r="B953" i="3" s="1"/>
  <c r="L952" i="3"/>
  <c r="U952" i="3" l="1"/>
  <c r="Y951" i="3"/>
  <c r="Z953" i="3"/>
  <c r="AA953" i="3"/>
  <c r="AD953" i="3"/>
  <c r="P953" i="3"/>
  <c r="Q953" i="3" s="1"/>
  <c r="R953" i="3" s="1"/>
  <c r="S953" i="3" s="1"/>
  <c r="AC953" i="3"/>
  <c r="T953" i="3" l="1"/>
  <c r="AG953" i="3" s="1"/>
  <c r="E953" i="3" l="1"/>
  <c r="H953" i="3" s="1"/>
  <c r="K953" i="3" s="1"/>
  <c r="AE953" i="3" s="1"/>
  <c r="AH953" i="3"/>
  <c r="D953" i="3"/>
  <c r="G953" i="3" s="1"/>
  <c r="F953" i="3" l="1"/>
  <c r="I953" i="3"/>
  <c r="J953" i="3"/>
  <c r="M953" i="3"/>
  <c r="N953" i="3" s="1"/>
  <c r="V953" i="3"/>
  <c r="A954" i="3"/>
  <c r="B954" i="3" s="1"/>
  <c r="W953" i="3" l="1"/>
  <c r="L953" i="3"/>
  <c r="AA954" i="3"/>
  <c r="P954" i="3"/>
  <c r="Q954" i="3" s="1"/>
  <c r="R954" i="3" s="1"/>
  <c r="S954" i="3" s="1"/>
  <c r="AC954" i="3"/>
  <c r="Z954" i="3"/>
  <c r="T954" i="3" l="1"/>
  <c r="U953" i="3"/>
  <c r="Y952" i="3"/>
  <c r="E954" i="3" l="1"/>
  <c r="H954" i="3" s="1"/>
  <c r="K954" i="3" s="1"/>
  <c r="AE954" i="3" s="1"/>
  <c r="AG954" i="3"/>
  <c r="AH954" i="3"/>
  <c r="D954" i="3"/>
  <c r="G954" i="3" s="1"/>
  <c r="F954" i="3" l="1"/>
  <c r="V954" i="3"/>
  <c r="A955" i="3"/>
  <c r="B955" i="3" s="1"/>
  <c r="I954" i="3"/>
  <c r="J954" i="3"/>
  <c r="AD954" i="3" s="1"/>
  <c r="M954" i="3"/>
  <c r="N954" i="3" s="1"/>
  <c r="W954" i="3" l="1"/>
  <c r="L954" i="3"/>
  <c r="P955" i="3"/>
  <c r="Q955" i="3" s="1"/>
  <c r="R955" i="3" s="1"/>
  <c r="S955" i="3" s="1"/>
  <c r="AA955" i="3"/>
  <c r="AD955" i="3"/>
  <c r="AC955" i="3"/>
  <c r="Z955" i="3"/>
  <c r="U954" i="3" l="1"/>
  <c r="Y953" i="3"/>
  <c r="T955" i="3"/>
  <c r="AG955" i="3" s="1"/>
  <c r="AH955" i="3" l="1"/>
  <c r="D955" i="3"/>
  <c r="E955" i="3"/>
  <c r="H955" i="3" s="1"/>
  <c r="F955" i="3" l="1"/>
  <c r="G955" i="3"/>
  <c r="K955" i="3"/>
  <c r="AE955" i="3" s="1"/>
  <c r="I955" i="3" l="1"/>
  <c r="J955" i="3"/>
  <c r="M955" i="3"/>
  <c r="N955" i="3" s="1"/>
  <c r="V955" i="3"/>
  <c r="A956" i="3"/>
  <c r="B956" i="3" s="1"/>
  <c r="W955" i="3" l="1"/>
  <c r="L955" i="3"/>
  <c r="AA956" i="3"/>
  <c r="P956" i="3"/>
  <c r="Q956" i="3" s="1"/>
  <c r="R956" i="3" s="1"/>
  <c r="S956" i="3" s="1"/>
  <c r="Z956" i="3"/>
  <c r="AD956" i="3"/>
  <c r="AC956" i="3"/>
  <c r="U955" i="3" l="1"/>
  <c r="Y954" i="3"/>
  <c r="T956" i="3"/>
  <c r="AH956" i="3" s="1"/>
  <c r="AG956" i="3" l="1"/>
  <c r="E956" i="3"/>
  <c r="H956" i="3" s="1"/>
  <c r="K956" i="3" s="1"/>
  <c r="AE956" i="3" s="1"/>
  <c r="D956" i="3"/>
  <c r="V956" i="3" l="1"/>
  <c r="A957" i="3"/>
  <c r="B957" i="3" s="1"/>
  <c r="F956" i="3"/>
  <c r="G956" i="3"/>
  <c r="I956" i="3" l="1"/>
  <c r="W956" i="3" s="1"/>
  <c r="J956" i="3"/>
  <c r="M956" i="3"/>
  <c r="N956" i="3" s="1"/>
  <c r="AA957" i="3"/>
  <c r="AD957" i="3"/>
  <c r="Z957" i="3"/>
  <c r="P957" i="3"/>
  <c r="Q957" i="3" s="1"/>
  <c r="R957" i="3" s="1"/>
  <c r="S957" i="3" s="1"/>
  <c r="AC957" i="3"/>
  <c r="T957" i="3" l="1"/>
  <c r="L956" i="3"/>
  <c r="AG957" i="3" l="1"/>
  <c r="U956" i="3"/>
  <c r="E957" i="3" s="1"/>
  <c r="H957" i="3" s="1"/>
  <c r="AH957" i="3"/>
  <c r="Y955" i="3"/>
  <c r="D957" i="3" l="1"/>
  <c r="G957" i="3" s="1"/>
  <c r="K957" i="3"/>
  <c r="AE957" i="3" s="1"/>
  <c r="F957" i="3" l="1"/>
  <c r="I957" i="3"/>
  <c r="J957" i="3"/>
  <c r="M957" i="3"/>
  <c r="N957" i="3" s="1"/>
  <c r="V957" i="3"/>
  <c r="A958" i="3"/>
  <c r="B958" i="3" s="1"/>
  <c r="W957" i="3" l="1"/>
  <c r="L957" i="3"/>
  <c r="AC958" i="3"/>
  <c r="AA958" i="3"/>
  <c r="P958" i="3"/>
  <c r="Q958" i="3" s="1"/>
  <c r="R958" i="3" s="1"/>
  <c r="S958" i="3" s="1"/>
  <c r="Z958" i="3"/>
  <c r="AD958" i="3"/>
  <c r="T958" i="3" l="1"/>
  <c r="AH958" i="3" s="1"/>
  <c r="U957" i="3"/>
  <c r="Y956" i="3"/>
  <c r="AG958" i="3" l="1"/>
  <c r="D958" i="3"/>
  <c r="E958" i="3"/>
  <c r="H958" i="3" s="1"/>
  <c r="K958" i="3" l="1"/>
  <c r="AE958" i="3" s="1"/>
  <c r="F958" i="3"/>
  <c r="G958" i="3"/>
  <c r="V958" i="3" l="1"/>
  <c r="A959" i="3"/>
  <c r="B959" i="3" s="1"/>
  <c r="I958" i="3"/>
  <c r="J958" i="3"/>
  <c r="M958" i="3"/>
  <c r="N958" i="3" s="1"/>
  <c r="W958" i="3" l="1"/>
  <c r="L958" i="3"/>
  <c r="Z959" i="3"/>
  <c r="AC959" i="3"/>
  <c r="P959" i="3"/>
  <c r="Q959" i="3" s="1"/>
  <c r="R959" i="3" s="1"/>
  <c r="S959" i="3" s="1"/>
  <c r="AA959" i="3"/>
  <c r="AD959" i="3"/>
  <c r="T959" i="3" l="1"/>
  <c r="AH959" i="3" s="1"/>
  <c r="U958" i="3"/>
  <c r="Y957" i="3"/>
  <c r="AG959" i="3" l="1"/>
  <c r="E959" i="3"/>
  <c r="H959" i="3" s="1"/>
  <c r="K959" i="3" s="1"/>
  <c r="AE959" i="3" s="1"/>
  <c r="D959" i="3"/>
  <c r="F959" i="3" l="1"/>
  <c r="G959" i="3"/>
  <c r="V959" i="3"/>
  <c r="A960" i="3"/>
  <c r="B960" i="3" s="1"/>
  <c r="AD960" i="3" l="1"/>
  <c r="Z960" i="3"/>
  <c r="AA960" i="3"/>
  <c r="P960" i="3"/>
  <c r="Q960" i="3" s="1"/>
  <c r="R960" i="3" s="1"/>
  <c r="S960" i="3" s="1"/>
  <c r="AC960" i="3"/>
  <c r="I959" i="3"/>
  <c r="W959" i="3" s="1"/>
  <c r="J959" i="3"/>
  <c r="M959" i="3"/>
  <c r="N959" i="3" s="1"/>
  <c r="T960" i="3" l="1"/>
  <c r="L959" i="3"/>
  <c r="U959" i="3" l="1"/>
  <c r="E960" i="3" s="1"/>
  <c r="H960" i="3" s="1"/>
  <c r="AG960" i="3"/>
  <c r="AH960" i="3"/>
  <c r="Y958" i="3"/>
  <c r="D960" i="3" l="1"/>
  <c r="G960" i="3" s="1"/>
  <c r="K960" i="3"/>
  <c r="AE960" i="3" s="1"/>
  <c r="F960" i="3" l="1"/>
  <c r="I960" i="3"/>
  <c r="J960" i="3"/>
  <c r="M960" i="3"/>
  <c r="N960" i="3" s="1"/>
  <c r="V960" i="3"/>
  <c r="A961" i="3"/>
  <c r="B961" i="3" s="1"/>
  <c r="W960" i="3" l="1"/>
  <c r="P961" i="3"/>
  <c r="Q961" i="3" s="1"/>
  <c r="R961" i="3" s="1"/>
  <c r="S961" i="3" s="1"/>
  <c r="AD961" i="3"/>
  <c r="AC961" i="3"/>
  <c r="Z961" i="3"/>
  <c r="AA961" i="3"/>
  <c r="L960" i="3"/>
  <c r="U960" i="3" l="1"/>
  <c r="Y959" i="3"/>
  <c r="T961" i="3"/>
  <c r="D961" i="3" l="1"/>
  <c r="G961" i="3" s="1"/>
  <c r="AH961" i="3"/>
  <c r="AG961" i="3"/>
  <c r="E961" i="3"/>
  <c r="H961" i="3" s="1"/>
  <c r="K961" i="3" l="1"/>
  <c r="AE961" i="3" s="1"/>
  <c r="I961" i="3"/>
  <c r="J961" i="3"/>
  <c r="M961" i="3"/>
  <c r="N961" i="3" s="1"/>
  <c r="F961" i="3"/>
  <c r="L961" i="3" l="1"/>
  <c r="V961" i="3"/>
  <c r="W961" i="3" s="1"/>
  <c r="A962" i="3"/>
  <c r="B962" i="3" s="1"/>
  <c r="Z962" i="3" l="1"/>
  <c r="AA962" i="3"/>
  <c r="P962" i="3"/>
  <c r="Q962" i="3" s="1"/>
  <c r="R962" i="3" s="1"/>
  <c r="S962" i="3" s="1"/>
  <c r="AC962" i="3"/>
  <c r="AD962" i="3"/>
  <c r="U961" i="3"/>
  <c r="Y960" i="3"/>
  <c r="T962" i="3" l="1"/>
  <c r="E962" i="3" s="1"/>
  <c r="H962" i="3" s="1"/>
  <c r="AH962" i="3" l="1"/>
  <c r="K962" i="3"/>
  <c r="AE962" i="3" s="1"/>
  <c r="D962" i="3"/>
  <c r="AG962" i="3"/>
  <c r="V962" i="3" l="1"/>
  <c r="A963" i="3"/>
  <c r="B963" i="3" s="1"/>
  <c r="F962" i="3"/>
  <c r="G962" i="3"/>
  <c r="P963" i="3" l="1"/>
  <c r="Q963" i="3" s="1"/>
  <c r="R963" i="3" s="1"/>
  <c r="S963" i="3" s="1"/>
  <c r="AC963" i="3"/>
  <c r="Z963" i="3"/>
  <c r="AA963" i="3"/>
  <c r="AD963" i="3"/>
  <c r="I962" i="3"/>
  <c r="W962" i="3" s="1"/>
  <c r="J962" i="3"/>
  <c r="M962" i="3"/>
  <c r="N962" i="3" s="1"/>
  <c r="T963" i="3" l="1"/>
  <c r="L962" i="3"/>
  <c r="U962" i="3" l="1"/>
  <c r="E963" i="3" s="1"/>
  <c r="H963" i="3" s="1"/>
  <c r="AG963" i="3"/>
  <c r="AH963" i="3"/>
  <c r="Y961" i="3"/>
  <c r="D963" i="3" l="1"/>
  <c r="G963" i="3" s="1"/>
  <c r="K963" i="3"/>
  <c r="AE963" i="3" s="1"/>
  <c r="F963" i="3" l="1"/>
  <c r="I963" i="3"/>
  <c r="J963" i="3"/>
  <c r="M963" i="3"/>
  <c r="N963" i="3" s="1"/>
  <c r="V963" i="3"/>
  <c r="A964" i="3"/>
  <c r="B964" i="3" s="1"/>
  <c r="W963" i="3" l="1"/>
  <c r="L963" i="3"/>
  <c r="Z964" i="3"/>
  <c r="P964" i="3"/>
  <c r="Q964" i="3" s="1"/>
  <c r="R964" i="3" s="1"/>
  <c r="S964" i="3" s="1"/>
  <c r="AA964" i="3"/>
  <c r="AC964" i="3"/>
  <c r="U963" i="3" l="1"/>
  <c r="Y962" i="3"/>
  <c r="T964" i="3"/>
  <c r="D964" i="3" l="1"/>
  <c r="G964" i="3" s="1"/>
  <c r="E964" i="3"/>
  <c r="H964" i="3" s="1"/>
  <c r="K964" i="3" s="1"/>
  <c r="AE964" i="3" s="1"/>
  <c r="AH964" i="3"/>
  <c r="AG964" i="3"/>
  <c r="F964" i="3" l="1"/>
  <c r="I964" i="3"/>
  <c r="J964" i="3"/>
  <c r="AD964" i="3" s="1"/>
  <c r="M964" i="3"/>
  <c r="N964" i="3" s="1"/>
  <c r="V964" i="3"/>
  <c r="A965" i="3"/>
  <c r="B965" i="3" s="1"/>
  <c r="W964" i="3" l="1"/>
  <c r="L964" i="3"/>
  <c r="AC965" i="3"/>
  <c r="AD965" i="3"/>
  <c r="P965" i="3"/>
  <c r="Q965" i="3" s="1"/>
  <c r="R965" i="3" s="1"/>
  <c r="S965" i="3" s="1"/>
  <c r="AA965" i="3"/>
  <c r="Z965" i="3"/>
  <c r="U964" i="3" l="1"/>
  <c r="Y963" i="3"/>
  <c r="T965" i="3"/>
  <c r="AH965" i="3" s="1"/>
  <c r="AG965" i="3" l="1"/>
  <c r="E965" i="3"/>
  <c r="H965" i="3" s="1"/>
  <c r="D965" i="3"/>
  <c r="F965" i="3" l="1"/>
  <c r="G965" i="3"/>
  <c r="K965" i="3"/>
  <c r="AE965" i="3" s="1"/>
  <c r="V965" i="3" l="1"/>
  <c r="A966" i="3"/>
  <c r="B966" i="3" s="1"/>
  <c r="I965" i="3"/>
  <c r="J965" i="3"/>
  <c r="M965" i="3"/>
  <c r="N965" i="3" s="1"/>
  <c r="L965" i="3" l="1"/>
  <c r="P966" i="3"/>
  <c r="Q966" i="3" s="1"/>
  <c r="R966" i="3" s="1"/>
  <c r="S966" i="3" s="1"/>
  <c r="AD966" i="3"/>
  <c r="AA966" i="3"/>
  <c r="Z966" i="3"/>
  <c r="AC966" i="3"/>
  <c r="W965" i="3"/>
  <c r="T966" i="3" l="1"/>
  <c r="AG966" i="3" s="1"/>
  <c r="U965" i="3"/>
  <c r="Y964" i="3"/>
  <c r="E966" i="3" l="1"/>
  <c r="H966" i="3" s="1"/>
  <c r="D966" i="3"/>
  <c r="AH966" i="3"/>
  <c r="K966" i="3" l="1"/>
  <c r="AE966" i="3" s="1"/>
  <c r="F966" i="3"/>
  <c r="G966" i="3"/>
  <c r="I966" i="3" l="1"/>
  <c r="J966" i="3"/>
  <c r="M966" i="3"/>
  <c r="N966" i="3" s="1"/>
  <c r="V966" i="3"/>
  <c r="A967" i="3"/>
  <c r="B967" i="3" s="1"/>
  <c r="W966" i="3" l="1"/>
  <c r="L966" i="3"/>
  <c r="AA967" i="3"/>
  <c r="P967" i="3"/>
  <c r="Q967" i="3" s="1"/>
  <c r="R967" i="3" s="1"/>
  <c r="S967" i="3" s="1"/>
  <c r="AC967" i="3"/>
  <c r="Z967" i="3"/>
  <c r="AD967" i="3"/>
  <c r="U966" i="3" l="1"/>
  <c r="Y965" i="3"/>
  <c r="T967" i="3"/>
  <c r="E967" i="3" l="1"/>
  <c r="H967" i="3" s="1"/>
  <c r="K967" i="3" s="1"/>
  <c r="AE967" i="3" s="1"/>
  <c r="AH967" i="3"/>
  <c r="AG967" i="3"/>
  <c r="D967" i="3"/>
  <c r="V967" i="3" l="1"/>
  <c r="A968" i="3"/>
  <c r="B968" i="3" s="1"/>
  <c r="F967" i="3"/>
  <c r="G967" i="3"/>
  <c r="I967" i="3" l="1"/>
  <c r="W967" i="3" s="1"/>
  <c r="J967" i="3"/>
  <c r="M967" i="3"/>
  <c r="N967" i="3" s="1"/>
  <c r="Z968" i="3"/>
  <c r="AA968" i="3"/>
  <c r="P968" i="3"/>
  <c r="Q968" i="3" s="1"/>
  <c r="R968" i="3" s="1"/>
  <c r="S968" i="3" s="1"/>
  <c r="AC968" i="3"/>
  <c r="AD968" i="3"/>
  <c r="L967" i="3" l="1"/>
  <c r="T968" i="3"/>
  <c r="AH968" i="3" l="1"/>
  <c r="AG968" i="3"/>
  <c r="U967" i="3"/>
  <c r="E968" i="3" s="1"/>
  <c r="H968" i="3" s="1"/>
  <c r="Y966" i="3"/>
  <c r="K968" i="3" l="1"/>
  <c r="AE968" i="3" s="1"/>
  <c r="D968" i="3"/>
  <c r="V968" i="3" l="1"/>
  <c r="A969" i="3"/>
  <c r="B969" i="3" s="1"/>
  <c r="F968" i="3"/>
  <c r="G968" i="3"/>
  <c r="I968" i="3" l="1"/>
  <c r="W968" i="3" s="1"/>
  <c r="J968" i="3"/>
  <c r="M968" i="3"/>
  <c r="N968" i="3" s="1"/>
  <c r="AA969" i="3"/>
  <c r="Z969" i="3"/>
  <c r="AD969" i="3"/>
  <c r="P969" i="3"/>
  <c r="Q969" i="3" s="1"/>
  <c r="R969" i="3" s="1"/>
  <c r="S969" i="3" s="1"/>
  <c r="AC969" i="3"/>
  <c r="T969" i="3" l="1"/>
  <c r="L968" i="3"/>
  <c r="AH969" i="3" l="1"/>
  <c r="U968" i="3"/>
  <c r="D969" i="3" s="1"/>
  <c r="AG969" i="3"/>
  <c r="Y967" i="3"/>
  <c r="G969" i="3" l="1"/>
  <c r="E969" i="3"/>
  <c r="H969" i="3" s="1"/>
  <c r="F969" i="3" l="1"/>
  <c r="I969" i="3"/>
  <c r="J969" i="3"/>
  <c r="M969" i="3"/>
  <c r="N969" i="3" s="1"/>
  <c r="K969" i="3"/>
  <c r="AE969" i="3" s="1"/>
  <c r="V969" i="3" l="1"/>
  <c r="W969" i="3" s="1"/>
  <c r="A970" i="3"/>
  <c r="B970" i="3" s="1"/>
  <c r="L969" i="3"/>
  <c r="U969" i="3" l="1"/>
  <c r="Y968" i="3"/>
  <c r="AA970" i="3"/>
  <c r="P970" i="3"/>
  <c r="Q970" i="3" s="1"/>
  <c r="R970" i="3" s="1"/>
  <c r="S970" i="3" s="1"/>
  <c r="AC970" i="3"/>
  <c r="Z970" i="3"/>
  <c r="AD970" i="3"/>
  <c r="T970" i="3" l="1"/>
  <c r="E970" i="3" s="1"/>
  <c r="H970" i="3" s="1"/>
  <c r="AH970" i="3" l="1"/>
  <c r="K970" i="3"/>
  <c r="AE970" i="3" s="1"/>
  <c r="D970" i="3"/>
  <c r="AG970" i="3"/>
  <c r="V970" i="3" l="1"/>
  <c r="A971" i="3"/>
  <c r="B971" i="3" s="1"/>
  <c r="F970" i="3"/>
  <c r="G970" i="3"/>
  <c r="I970" i="3" l="1"/>
  <c r="W970" i="3" s="1"/>
  <c r="J970" i="3"/>
  <c r="M970" i="3"/>
  <c r="N970" i="3" s="1"/>
  <c r="P971" i="3"/>
  <c r="Q971" i="3" s="1"/>
  <c r="R971" i="3" s="1"/>
  <c r="S971" i="3" s="1"/>
  <c r="AD971" i="3"/>
  <c r="Z971" i="3"/>
  <c r="AC971" i="3"/>
  <c r="AA971" i="3"/>
  <c r="T971" i="3" l="1"/>
  <c r="L970" i="3"/>
  <c r="U970" i="3" l="1"/>
  <c r="E971" i="3" s="1"/>
  <c r="H971" i="3" s="1"/>
  <c r="AH971" i="3"/>
  <c r="AG971" i="3"/>
  <c r="Y969" i="3"/>
  <c r="K971" i="3" l="1"/>
  <c r="AE971" i="3" s="1"/>
  <c r="D971" i="3"/>
  <c r="V971" i="3" l="1"/>
  <c r="A972" i="3"/>
  <c r="B972" i="3" s="1"/>
  <c r="F971" i="3"/>
  <c r="G971" i="3"/>
  <c r="I971" i="3" l="1"/>
  <c r="W971" i="3" s="1"/>
  <c r="J971" i="3"/>
  <c r="M971" i="3"/>
  <c r="N971" i="3" s="1"/>
  <c r="AC972" i="3"/>
  <c r="AD972" i="3"/>
  <c r="Z972" i="3"/>
  <c r="P972" i="3"/>
  <c r="Q972" i="3" s="1"/>
  <c r="R972" i="3" s="1"/>
  <c r="S972" i="3" s="1"/>
  <c r="AA972" i="3"/>
  <c r="T972" i="3" l="1"/>
  <c r="L971" i="3"/>
  <c r="U971" i="3" l="1"/>
  <c r="D972" i="3" s="1"/>
  <c r="AH972" i="3"/>
  <c r="AG972" i="3"/>
  <c r="Y970" i="3"/>
  <c r="E972" i="3" l="1"/>
  <c r="H972" i="3" s="1"/>
  <c r="K972" i="3" s="1"/>
  <c r="AE972" i="3" s="1"/>
  <c r="G972" i="3"/>
  <c r="F972" i="3" l="1"/>
  <c r="V972" i="3"/>
  <c r="A973" i="3"/>
  <c r="B973" i="3" s="1"/>
  <c r="I972" i="3"/>
  <c r="J972" i="3"/>
  <c r="M972" i="3"/>
  <c r="N972" i="3" s="1"/>
  <c r="W972" i="3" l="1"/>
  <c r="L972" i="3"/>
  <c r="AC973" i="3"/>
  <c r="P973" i="3"/>
  <c r="Q973" i="3" s="1"/>
  <c r="R973" i="3" s="1"/>
  <c r="S973" i="3" s="1"/>
  <c r="Z973" i="3"/>
  <c r="AD973" i="3"/>
  <c r="AA973" i="3"/>
  <c r="U972" i="3" l="1"/>
  <c r="Y971" i="3"/>
  <c r="T973" i="3"/>
  <c r="AG973" i="3" s="1"/>
  <c r="D973" i="3" l="1"/>
  <c r="G973" i="3" s="1"/>
  <c r="E973" i="3"/>
  <c r="H973" i="3" s="1"/>
  <c r="K973" i="3" s="1"/>
  <c r="AE973" i="3" s="1"/>
  <c r="AH973" i="3"/>
  <c r="F973" i="3" l="1"/>
  <c r="I973" i="3"/>
  <c r="J973" i="3"/>
  <c r="M973" i="3"/>
  <c r="N973" i="3" s="1"/>
  <c r="V973" i="3"/>
  <c r="A974" i="3"/>
  <c r="B974" i="3" s="1"/>
  <c r="W973" i="3" l="1"/>
  <c r="L973" i="3"/>
  <c r="P974" i="3"/>
  <c r="Q974" i="3" s="1"/>
  <c r="R974" i="3" s="1"/>
  <c r="S974" i="3" s="1"/>
  <c r="AA974" i="3"/>
  <c r="Z974" i="3"/>
  <c r="AC974" i="3"/>
  <c r="T974" i="3" l="1"/>
  <c r="AG974" i="3" s="1"/>
  <c r="U973" i="3"/>
  <c r="Y972" i="3"/>
  <c r="AH974" i="3" l="1"/>
  <c r="E974" i="3"/>
  <c r="H974" i="3" s="1"/>
  <c r="D974" i="3"/>
  <c r="K974" i="3" l="1"/>
  <c r="AE974" i="3" s="1"/>
  <c r="F974" i="3"/>
  <c r="G974" i="3"/>
  <c r="I974" i="3" l="1"/>
  <c r="J974" i="3"/>
  <c r="AD974" i="3" s="1"/>
  <c r="M974" i="3"/>
  <c r="N974" i="3" s="1"/>
  <c r="V974" i="3"/>
  <c r="A975" i="3"/>
  <c r="B975" i="3" s="1"/>
  <c r="W974" i="3" l="1"/>
  <c r="L974" i="3"/>
  <c r="AD975" i="3"/>
  <c r="P975" i="3"/>
  <c r="Q975" i="3" s="1"/>
  <c r="R975" i="3" s="1"/>
  <c r="S975" i="3" s="1"/>
  <c r="AC975" i="3"/>
  <c r="Z975" i="3"/>
  <c r="AA975" i="3"/>
  <c r="U974" i="3" l="1"/>
  <c r="Y973" i="3"/>
  <c r="T975" i="3"/>
  <c r="D975" i="3" l="1"/>
  <c r="G975" i="3" s="1"/>
  <c r="AH975" i="3"/>
  <c r="E975" i="3"/>
  <c r="H975" i="3" s="1"/>
  <c r="K975" i="3" s="1"/>
  <c r="AE975" i="3" s="1"/>
  <c r="AG975" i="3"/>
  <c r="F975" i="3" l="1"/>
  <c r="V975" i="3"/>
  <c r="A976" i="3"/>
  <c r="B976" i="3" s="1"/>
  <c r="I975" i="3"/>
  <c r="J975" i="3"/>
  <c r="M975" i="3"/>
  <c r="N975" i="3" s="1"/>
  <c r="W975" i="3" l="1"/>
  <c r="L975" i="3"/>
  <c r="AA976" i="3"/>
  <c r="AC976" i="3"/>
  <c r="Z976" i="3"/>
  <c r="AD976" i="3"/>
  <c r="P976" i="3"/>
  <c r="Q976" i="3" s="1"/>
  <c r="R976" i="3" s="1"/>
  <c r="S976" i="3" s="1"/>
  <c r="U975" i="3" l="1"/>
  <c r="Y974" i="3"/>
  <c r="T976" i="3"/>
  <c r="AG976" i="3" s="1"/>
  <c r="AH976" i="3" l="1"/>
  <c r="E976" i="3"/>
  <c r="H976" i="3" s="1"/>
  <c r="D976" i="3"/>
  <c r="K976" i="3" l="1"/>
  <c r="AE976" i="3" s="1"/>
  <c r="F976" i="3"/>
  <c r="G976" i="3"/>
  <c r="I976" i="3" l="1"/>
  <c r="J976" i="3"/>
  <c r="M976" i="3"/>
  <c r="N976" i="3" s="1"/>
  <c r="V976" i="3"/>
  <c r="A977" i="3"/>
  <c r="B977" i="3" s="1"/>
  <c r="W976" i="3" l="1"/>
  <c r="L976" i="3"/>
  <c r="Z977" i="3"/>
  <c r="P977" i="3"/>
  <c r="Q977" i="3" s="1"/>
  <c r="R977" i="3" s="1"/>
  <c r="S977" i="3" s="1"/>
  <c r="AC977" i="3"/>
  <c r="AA977" i="3"/>
  <c r="AD977" i="3"/>
  <c r="T977" i="3" l="1"/>
  <c r="U976" i="3"/>
  <c r="Y975" i="3"/>
  <c r="E977" i="3" l="1"/>
  <c r="H977" i="3" s="1"/>
  <c r="K977" i="3" s="1"/>
  <c r="AE977" i="3" s="1"/>
  <c r="AG977" i="3"/>
  <c r="D977" i="3"/>
  <c r="G977" i="3" s="1"/>
  <c r="AH977" i="3"/>
  <c r="F977" i="3" l="1"/>
  <c r="I977" i="3"/>
  <c r="J977" i="3"/>
  <c r="M977" i="3"/>
  <c r="N977" i="3" s="1"/>
  <c r="V977" i="3"/>
  <c r="A978" i="3"/>
  <c r="B978" i="3" s="1"/>
  <c r="W977" i="3" l="1"/>
  <c r="L977" i="3"/>
  <c r="AC978" i="3"/>
  <c r="AD978" i="3"/>
  <c r="Z978" i="3"/>
  <c r="AA978" i="3"/>
  <c r="P978" i="3"/>
  <c r="Q978" i="3" s="1"/>
  <c r="R978" i="3" s="1"/>
  <c r="S978" i="3" s="1"/>
  <c r="T978" i="3" l="1"/>
  <c r="U977" i="3"/>
  <c r="Y976" i="3"/>
  <c r="D978" i="3" l="1"/>
  <c r="G978" i="3" s="1"/>
  <c r="E978" i="3"/>
  <c r="H978" i="3" s="1"/>
  <c r="K978" i="3" s="1"/>
  <c r="AE978" i="3" s="1"/>
  <c r="AH978" i="3"/>
  <c r="AG978" i="3"/>
  <c r="F978" i="3" l="1"/>
  <c r="I978" i="3"/>
  <c r="J978" i="3"/>
  <c r="M978" i="3"/>
  <c r="N978" i="3" s="1"/>
  <c r="V978" i="3"/>
  <c r="A979" i="3"/>
  <c r="B979" i="3" s="1"/>
  <c r="W978" i="3" l="1"/>
  <c r="L978" i="3"/>
  <c r="AC979" i="3"/>
  <c r="AA979" i="3"/>
  <c r="AD979" i="3"/>
  <c r="Z979" i="3"/>
  <c r="P979" i="3"/>
  <c r="Q979" i="3" s="1"/>
  <c r="R979" i="3" s="1"/>
  <c r="S979" i="3" s="1"/>
  <c r="T979" i="3" l="1"/>
  <c r="U978" i="3"/>
  <c r="Y977" i="3"/>
  <c r="D979" i="3" l="1"/>
  <c r="G979" i="3" s="1"/>
  <c r="AH979" i="3"/>
  <c r="E979" i="3"/>
  <c r="H979" i="3" s="1"/>
  <c r="K979" i="3" s="1"/>
  <c r="AE979" i="3" s="1"/>
  <c r="AG979" i="3"/>
  <c r="F979" i="3" l="1"/>
  <c r="V979" i="3"/>
  <c r="A980" i="3"/>
  <c r="B980" i="3" s="1"/>
  <c r="I979" i="3"/>
  <c r="J979" i="3"/>
  <c r="M979" i="3"/>
  <c r="N979" i="3" s="1"/>
  <c r="W979" i="3" l="1"/>
  <c r="L979" i="3"/>
  <c r="P980" i="3"/>
  <c r="Q980" i="3" s="1"/>
  <c r="R980" i="3" s="1"/>
  <c r="S980" i="3" s="1"/>
  <c r="AA980" i="3"/>
  <c r="AD980" i="3"/>
  <c r="AC980" i="3"/>
  <c r="Z980" i="3"/>
  <c r="U979" i="3" l="1"/>
  <c r="Y978" i="3"/>
  <c r="T980" i="3"/>
  <c r="AH980" i="3" s="1"/>
  <c r="D980" i="3" l="1"/>
  <c r="G980" i="3" s="1"/>
  <c r="E980" i="3"/>
  <c r="H980" i="3" s="1"/>
  <c r="K980" i="3" s="1"/>
  <c r="AE980" i="3" s="1"/>
  <c r="AG980" i="3"/>
  <c r="F980" i="3" l="1"/>
  <c r="I980" i="3"/>
  <c r="J980" i="3"/>
  <c r="M980" i="3"/>
  <c r="N980" i="3" s="1"/>
  <c r="V980" i="3"/>
  <c r="A981" i="3"/>
  <c r="B981" i="3" s="1"/>
  <c r="W980" i="3" l="1"/>
  <c r="L980" i="3"/>
  <c r="AD981" i="3"/>
  <c r="AA981" i="3"/>
  <c r="AC981" i="3"/>
  <c r="Z981" i="3"/>
  <c r="P981" i="3"/>
  <c r="Q981" i="3" s="1"/>
  <c r="R981" i="3" s="1"/>
  <c r="S981" i="3" s="1"/>
  <c r="U980" i="3" l="1"/>
  <c r="Y979" i="3"/>
  <c r="T981" i="3"/>
  <c r="AH981" i="3" s="1"/>
  <c r="D981" i="3" l="1"/>
  <c r="G981" i="3" s="1"/>
  <c r="AG981" i="3"/>
  <c r="E981" i="3"/>
  <c r="H981" i="3" s="1"/>
  <c r="F981" i="3" l="1"/>
  <c r="I981" i="3"/>
  <c r="J981" i="3"/>
  <c r="M981" i="3"/>
  <c r="N981" i="3" s="1"/>
  <c r="K981" i="3"/>
  <c r="AE981" i="3" s="1"/>
  <c r="V981" i="3" l="1"/>
  <c r="W981" i="3" s="1"/>
  <c r="A982" i="3"/>
  <c r="B982" i="3" s="1"/>
  <c r="L981" i="3"/>
  <c r="U981" i="3" l="1"/>
  <c r="Y980" i="3"/>
  <c r="P982" i="3"/>
  <c r="Q982" i="3" s="1"/>
  <c r="R982" i="3" s="1"/>
  <c r="S982" i="3" s="1"/>
  <c r="AD982" i="3"/>
  <c r="AC982" i="3"/>
  <c r="AA982" i="3"/>
  <c r="Z982" i="3"/>
  <c r="T982" i="3" l="1"/>
  <c r="E982" i="3" s="1"/>
  <c r="H982" i="3" s="1"/>
  <c r="AG982" i="3" l="1"/>
  <c r="AH982" i="3"/>
  <c r="D982" i="3"/>
  <c r="G982" i="3" s="1"/>
  <c r="K982" i="3"/>
  <c r="AE982" i="3" s="1"/>
  <c r="F982" i="3" l="1"/>
  <c r="I982" i="3"/>
  <c r="J982" i="3"/>
  <c r="M982" i="3"/>
  <c r="N982" i="3" s="1"/>
  <c r="V982" i="3"/>
  <c r="A983" i="3"/>
  <c r="B983" i="3" s="1"/>
  <c r="W982" i="3" l="1"/>
  <c r="L982" i="3"/>
  <c r="AD983" i="3"/>
  <c r="Z983" i="3"/>
  <c r="P983" i="3"/>
  <c r="Q983" i="3" s="1"/>
  <c r="R983" i="3" s="1"/>
  <c r="S983" i="3" s="1"/>
  <c r="AA983" i="3"/>
  <c r="AC983" i="3"/>
  <c r="U982" i="3" l="1"/>
  <c r="Y981" i="3"/>
  <c r="T983" i="3"/>
  <c r="AG983" i="3" s="1"/>
  <c r="E983" i="3" l="1"/>
  <c r="H983" i="3" s="1"/>
  <c r="K983" i="3" s="1"/>
  <c r="AE983" i="3" s="1"/>
  <c r="D983" i="3"/>
  <c r="AH983" i="3"/>
  <c r="F983" i="3" l="1"/>
  <c r="G983" i="3"/>
  <c r="M983" i="3" s="1"/>
  <c r="N983" i="3" s="1"/>
  <c r="V983" i="3"/>
  <c r="A984" i="3"/>
  <c r="B984" i="3" s="1"/>
  <c r="I983" i="3" l="1"/>
  <c r="W983" i="3" s="1"/>
  <c r="J983" i="3"/>
  <c r="L983" i="3" s="1"/>
  <c r="P984" i="3"/>
  <c r="Q984" i="3" s="1"/>
  <c r="R984" i="3" s="1"/>
  <c r="S984" i="3" s="1"/>
  <c r="AA984" i="3"/>
  <c r="Z984" i="3"/>
  <c r="AC984" i="3"/>
  <c r="U983" i="3" l="1"/>
  <c r="Y982" i="3"/>
  <c r="T984" i="3"/>
  <c r="E984" i="3" l="1"/>
  <c r="H984" i="3" s="1"/>
  <c r="K984" i="3" s="1"/>
  <c r="AE984" i="3" s="1"/>
  <c r="AG984" i="3"/>
  <c r="D984" i="3"/>
  <c r="AH984" i="3"/>
  <c r="F984" i="3" l="1"/>
  <c r="G984" i="3"/>
  <c r="V984" i="3"/>
  <c r="A985" i="3"/>
  <c r="B985" i="3" s="1"/>
  <c r="AA985" i="3" l="1"/>
  <c r="Z985" i="3"/>
  <c r="P985" i="3"/>
  <c r="Q985" i="3" s="1"/>
  <c r="R985" i="3" s="1"/>
  <c r="S985" i="3" s="1"/>
  <c r="AD985" i="3"/>
  <c r="AC985" i="3"/>
  <c r="I984" i="3"/>
  <c r="W984" i="3" s="1"/>
  <c r="J984" i="3"/>
  <c r="AD984" i="3" s="1"/>
  <c r="M984" i="3"/>
  <c r="N984" i="3" s="1"/>
  <c r="T985" i="3" l="1"/>
  <c r="L984" i="3"/>
  <c r="AG985" i="3" l="1"/>
  <c r="AH985" i="3"/>
  <c r="U984" i="3"/>
  <c r="D985" i="3" s="1"/>
  <c r="Y983" i="3"/>
  <c r="G985" i="3" l="1"/>
  <c r="E985" i="3"/>
  <c r="H985" i="3" s="1"/>
  <c r="I985" i="3" l="1"/>
  <c r="J985" i="3"/>
  <c r="M985" i="3"/>
  <c r="N985" i="3" s="1"/>
  <c r="F985" i="3"/>
  <c r="K985" i="3"/>
  <c r="AE985" i="3" s="1"/>
  <c r="L985" i="3" l="1"/>
  <c r="V985" i="3"/>
  <c r="W985" i="3" s="1"/>
  <c r="A986" i="3"/>
  <c r="B986" i="3" s="1"/>
  <c r="U985" i="3" l="1"/>
  <c r="Y984" i="3"/>
  <c r="AC986" i="3"/>
  <c r="P986" i="3"/>
  <c r="Q986" i="3" s="1"/>
  <c r="R986" i="3" s="1"/>
  <c r="S986" i="3" s="1"/>
  <c r="Z986" i="3"/>
  <c r="AD986" i="3"/>
  <c r="AA986" i="3"/>
  <c r="T986" i="3" l="1"/>
  <c r="E986" i="3" s="1"/>
  <c r="H986" i="3" s="1"/>
  <c r="AG986" i="3" l="1"/>
  <c r="K986" i="3"/>
  <c r="AE986" i="3" s="1"/>
  <c r="AH986" i="3"/>
  <c r="D986" i="3"/>
  <c r="F986" i="3" l="1"/>
  <c r="G986" i="3"/>
  <c r="V986" i="3"/>
  <c r="A987" i="3"/>
  <c r="B987" i="3" s="1"/>
  <c r="Z987" i="3" l="1"/>
  <c r="AC987" i="3"/>
  <c r="P987" i="3"/>
  <c r="Q987" i="3" s="1"/>
  <c r="R987" i="3" s="1"/>
  <c r="S987" i="3" s="1"/>
  <c r="AD987" i="3"/>
  <c r="AA987" i="3"/>
  <c r="I986" i="3"/>
  <c r="W986" i="3" s="1"/>
  <c r="J986" i="3"/>
  <c r="M986" i="3"/>
  <c r="N986" i="3" s="1"/>
  <c r="L986" i="3" l="1"/>
  <c r="T987" i="3"/>
  <c r="U986" i="3" l="1"/>
  <c r="E987" i="3" s="1"/>
  <c r="H987" i="3" s="1"/>
  <c r="AH987" i="3"/>
  <c r="AG987" i="3"/>
  <c r="Y985" i="3"/>
  <c r="K987" i="3" l="1"/>
  <c r="AE987" i="3" s="1"/>
  <c r="D987" i="3"/>
  <c r="V987" i="3" l="1"/>
  <c r="A988" i="3"/>
  <c r="B988" i="3" s="1"/>
  <c r="F987" i="3"/>
  <c r="G987" i="3"/>
  <c r="I987" i="3" l="1"/>
  <c r="W987" i="3" s="1"/>
  <c r="J987" i="3"/>
  <c r="M987" i="3"/>
  <c r="N987" i="3" s="1"/>
  <c r="AC988" i="3"/>
  <c r="Z988" i="3"/>
  <c r="AD988" i="3"/>
  <c r="AA988" i="3"/>
  <c r="P988" i="3"/>
  <c r="Q988" i="3" s="1"/>
  <c r="R988" i="3" s="1"/>
  <c r="S988" i="3" s="1"/>
  <c r="L987" i="3" l="1"/>
  <c r="T988" i="3"/>
  <c r="AH988" i="3" l="1"/>
  <c r="U987" i="3"/>
  <c r="E988" i="3" s="1"/>
  <c r="H988" i="3" s="1"/>
  <c r="AG988" i="3"/>
  <c r="Y986" i="3"/>
  <c r="D988" i="3" l="1"/>
  <c r="G988" i="3" s="1"/>
  <c r="K988" i="3"/>
  <c r="AE988" i="3" s="1"/>
  <c r="F988" i="3" l="1"/>
  <c r="I988" i="3"/>
  <c r="J988" i="3"/>
  <c r="M988" i="3"/>
  <c r="N988" i="3" s="1"/>
  <c r="V988" i="3"/>
  <c r="A989" i="3"/>
  <c r="B989" i="3" s="1"/>
  <c r="W988" i="3" l="1"/>
  <c r="L988" i="3"/>
  <c r="AC989" i="3"/>
  <c r="AD989" i="3"/>
  <c r="P989" i="3"/>
  <c r="Q989" i="3" s="1"/>
  <c r="R989" i="3" s="1"/>
  <c r="S989" i="3" s="1"/>
  <c r="Z989" i="3"/>
  <c r="AA989" i="3"/>
  <c r="T989" i="3" l="1"/>
  <c r="U988" i="3"/>
  <c r="Y987" i="3"/>
  <c r="D989" i="3" l="1"/>
  <c r="G989" i="3" s="1"/>
  <c r="AG989" i="3"/>
  <c r="E989" i="3"/>
  <c r="H989" i="3" s="1"/>
  <c r="AH989" i="3"/>
  <c r="F989" i="3" l="1"/>
  <c r="I989" i="3"/>
  <c r="J989" i="3"/>
  <c r="M989" i="3"/>
  <c r="N989" i="3" s="1"/>
  <c r="K989" i="3"/>
  <c r="AE989" i="3" s="1"/>
  <c r="L989" i="3" l="1"/>
  <c r="V989" i="3"/>
  <c r="W989" i="3" s="1"/>
  <c r="A990" i="3"/>
  <c r="B990" i="3" s="1"/>
  <c r="U989" i="3" l="1"/>
  <c r="Y988" i="3"/>
  <c r="AC990" i="3"/>
  <c r="AD990" i="3"/>
  <c r="AA990" i="3"/>
  <c r="Z990" i="3"/>
  <c r="P990" i="3"/>
  <c r="Q990" i="3" s="1"/>
  <c r="R990" i="3" s="1"/>
  <c r="S990" i="3" s="1"/>
  <c r="T990" i="3" l="1"/>
  <c r="E990" i="3" s="1"/>
  <c r="H990" i="3" s="1"/>
  <c r="AH990" i="3" l="1"/>
  <c r="D990" i="3"/>
  <c r="G990" i="3" s="1"/>
  <c r="AG990" i="3"/>
  <c r="K990" i="3"/>
  <c r="AE990" i="3" s="1"/>
  <c r="F990" i="3" l="1"/>
  <c r="V990" i="3"/>
  <c r="A991" i="3"/>
  <c r="B991" i="3" s="1"/>
  <c r="I990" i="3"/>
  <c r="J990" i="3"/>
  <c r="M990" i="3"/>
  <c r="N990" i="3" s="1"/>
  <c r="L990" i="3" l="1"/>
  <c r="W990" i="3"/>
  <c r="AA991" i="3"/>
  <c r="AD991" i="3"/>
  <c r="P991" i="3"/>
  <c r="Q991" i="3" s="1"/>
  <c r="R991" i="3" s="1"/>
  <c r="S991" i="3" s="1"/>
  <c r="Z991" i="3"/>
  <c r="AC991" i="3"/>
  <c r="U990" i="3" l="1"/>
  <c r="Y989" i="3"/>
  <c r="T991" i="3"/>
  <c r="D991" i="3" l="1"/>
  <c r="G991" i="3" s="1"/>
  <c r="E991" i="3"/>
  <c r="H991" i="3" s="1"/>
  <c r="K991" i="3" s="1"/>
  <c r="AE991" i="3" s="1"/>
  <c r="AG991" i="3"/>
  <c r="AH991" i="3"/>
  <c r="F991" i="3" l="1"/>
  <c r="V991" i="3"/>
  <c r="A992" i="3"/>
  <c r="B992" i="3" s="1"/>
  <c r="I991" i="3"/>
  <c r="J991" i="3"/>
  <c r="M991" i="3"/>
  <c r="N991" i="3" s="1"/>
  <c r="W991" i="3" l="1"/>
  <c r="L991" i="3"/>
  <c r="AC992" i="3"/>
  <c r="AD992" i="3"/>
  <c r="Z992" i="3"/>
  <c r="AA992" i="3"/>
  <c r="P992" i="3"/>
  <c r="Q992" i="3" s="1"/>
  <c r="R992" i="3" s="1"/>
  <c r="S992" i="3" s="1"/>
  <c r="U991" i="3" l="1"/>
  <c r="Y990" i="3"/>
  <c r="T992" i="3"/>
  <c r="AG992" i="3" s="1"/>
  <c r="D992" i="3" l="1"/>
  <c r="AH992" i="3"/>
  <c r="E992" i="3"/>
  <c r="H992" i="3" s="1"/>
  <c r="K992" i="3" s="1"/>
  <c r="AE992" i="3" s="1"/>
  <c r="F992" i="3" l="1"/>
  <c r="G992" i="3"/>
  <c r="M992" i="3" s="1"/>
  <c r="N992" i="3" s="1"/>
  <c r="V992" i="3"/>
  <c r="A993" i="3"/>
  <c r="B993" i="3" s="1"/>
  <c r="I992" i="3" l="1"/>
  <c r="W992" i="3" s="1"/>
  <c r="J992" i="3"/>
  <c r="L992" i="3" s="1"/>
  <c r="AD993" i="3"/>
  <c r="Z993" i="3"/>
  <c r="AA993" i="3"/>
  <c r="P993" i="3"/>
  <c r="Q993" i="3" s="1"/>
  <c r="R993" i="3" s="1"/>
  <c r="S993" i="3" s="1"/>
  <c r="AC993" i="3"/>
  <c r="U992" i="3" l="1"/>
  <c r="Y991" i="3"/>
  <c r="T993" i="3"/>
  <c r="AH993" i="3" s="1"/>
  <c r="D993" i="3" l="1"/>
  <c r="G993" i="3" s="1"/>
  <c r="E993" i="3"/>
  <c r="H993" i="3" s="1"/>
  <c r="K993" i="3" s="1"/>
  <c r="AE993" i="3" s="1"/>
  <c r="AG993" i="3"/>
  <c r="F993" i="3" l="1"/>
  <c r="V993" i="3"/>
  <c r="A994" i="3"/>
  <c r="B994" i="3" s="1"/>
  <c r="I993" i="3"/>
  <c r="J993" i="3"/>
  <c r="M993" i="3"/>
  <c r="N993" i="3" s="1"/>
  <c r="L993" i="3" l="1"/>
  <c r="W993" i="3"/>
  <c r="AA994" i="3"/>
  <c r="P994" i="3"/>
  <c r="Q994" i="3" s="1"/>
  <c r="R994" i="3" s="1"/>
  <c r="S994" i="3" s="1"/>
  <c r="Z994" i="3"/>
  <c r="AC994" i="3"/>
  <c r="U993" i="3" l="1"/>
  <c r="Y992" i="3"/>
  <c r="T994" i="3"/>
  <c r="AH994" i="3" s="1"/>
  <c r="E994" i="3" l="1"/>
  <c r="H994" i="3" s="1"/>
  <c r="K994" i="3" s="1"/>
  <c r="AE994" i="3" s="1"/>
  <c r="D994" i="3"/>
  <c r="AG994" i="3"/>
  <c r="F994" i="3" l="1"/>
  <c r="G994" i="3"/>
  <c r="J994" i="3" s="1"/>
  <c r="AD994" i="3" s="1"/>
  <c r="V994" i="3"/>
  <c r="A995" i="3"/>
  <c r="B995" i="3" s="1"/>
  <c r="M994" i="3" l="1"/>
  <c r="N994" i="3" s="1"/>
  <c r="I994" i="3"/>
  <c r="W994" i="3" s="1"/>
  <c r="L994" i="3"/>
  <c r="AA995" i="3"/>
  <c r="AD995" i="3"/>
  <c r="P995" i="3"/>
  <c r="Q995" i="3" s="1"/>
  <c r="R995" i="3" s="1"/>
  <c r="S995" i="3" s="1"/>
  <c r="AC995" i="3"/>
  <c r="Z995" i="3"/>
  <c r="T995" i="3" l="1"/>
  <c r="U994" i="3"/>
  <c r="Y993" i="3"/>
  <c r="D995" i="3" l="1"/>
  <c r="G995" i="3" s="1"/>
  <c r="E995" i="3"/>
  <c r="H995" i="3" s="1"/>
  <c r="K995" i="3" s="1"/>
  <c r="AE995" i="3" s="1"/>
  <c r="AH995" i="3"/>
  <c r="AG995" i="3"/>
  <c r="F995" i="3" l="1"/>
  <c r="I995" i="3"/>
  <c r="J995" i="3"/>
  <c r="M995" i="3"/>
  <c r="N995" i="3" s="1"/>
  <c r="V995" i="3"/>
  <c r="A996" i="3"/>
  <c r="B996" i="3" s="1"/>
  <c r="W995" i="3" l="1"/>
  <c r="L995" i="3"/>
  <c r="Z996" i="3"/>
  <c r="AD996" i="3"/>
  <c r="P996" i="3"/>
  <c r="Q996" i="3" s="1"/>
  <c r="R996" i="3" s="1"/>
  <c r="S996" i="3" s="1"/>
  <c r="AA996" i="3"/>
  <c r="AC996" i="3"/>
  <c r="U995" i="3" l="1"/>
  <c r="Y994" i="3"/>
  <c r="T996" i="3"/>
  <c r="D996" i="3" l="1"/>
  <c r="G996" i="3" s="1"/>
  <c r="AG996" i="3"/>
  <c r="E996" i="3"/>
  <c r="H996" i="3" s="1"/>
  <c r="K996" i="3" s="1"/>
  <c r="AE996" i="3" s="1"/>
  <c r="AH996" i="3"/>
  <c r="F996" i="3" l="1"/>
  <c r="I996" i="3"/>
  <c r="J996" i="3"/>
  <c r="M996" i="3"/>
  <c r="N996" i="3" s="1"/>
  <c r="V996" i="3"/>
  <c r="A997" i="3"/>
  <c r="B997" i="3" s="1"/>
  <c r="AD997" i="3" l="1"/>
  <c r="P997" i="3"/>
  <c r="Q997" i="3" s="1"/>
  <c r="R997" i="3" s="1"/>
  <c r="S997" i="3" s="1"/>
  <c r="Z997" i="3"/>
  <c r="AA997" i="3"/>
  <c r="AC997" i="3"/>
  <c r="L996" i="3"/>
  <c r="W996" i="3"/>
  <c r="U996" i="3" l="1"/>
  <c r="Y995" i="3"/>
  <c r="T997" i="3"/>
  <c r="AH997" i="3" s="1"/>
  <c r="AG997" i="3" l="1"/>
  <c r="D997" i="3"/>
  <c r="E997" i="3"/>
  <c r="H997" i="3" s="1"/>
  <c r="K997" i="3" s="1"/>
  <c r="AE997" i="3" s="1"/>
  <c r="F997" i="3" l="1"/>
  <c r="G997" i="3"/>
  <c r="I997" i="3" s="1"/>
  <c r="V997" i="3"/>
  <c r="A998" i="3"/>
  <c r="B998" i="3" s="1"/>
  <c r="J997" i="3" l="1"/>
  <c r="L997" i="3" s="1"/>
  <c r="M997" i="3"/>
  <c r="N997" i="3" s="1"/>
  <c r="W997" i="3"/>
  <c r="Z998" i="3"/>
  <c r="P998" i="3"/>
  <c r="Q998" i="3" s="1"/>
  <c r="R998" i="3" s="1"/>
  <c r="S998" i="3" s="1"/>
  <c r="AD998" i="3"/>
  <c r="AC998" i="3"/>
  <c r="AA998" i="3"/>
  <c r="T998" i="3" l="1"/>
  <c r="AG998" i="3" s="1"/>
  <c r="U997" i="3"/>
  <c r="Y996" i="3"/>
  <c r="E998" i="3" l="1"/>
  <c r="H998" i="3" s="1"/>
  <c r="K998" i="3" s="1"/>
  <c r="AE998" i="3" s="1"/>
  <c r="AH998" i="3"/>
  <c r="D998" i="3"/>
  <c r="V998" i="3" l="1"/>
  <c r="A999" i="3"/>
  <c r="B999" i="3" s="1"/>
  <c r="F998" i="3"/>
  <c r="G998" i="3"/>
  <c r="I998" i="3" l="1"/>
  <c r="W998" i="3" s="1"/>
  <c r="J998" i="3"/>
  <c r="M998" i="3"/>
  <c r="N998" i="3" s="1"/>
  <c r="AD999" i="3"/>
  <c r="Z999" i="3"/>
  <c r="AC999" i="3"/>
  <c r="AA999" i="3"/>
  <c r="P999" i="3"/>
  <c r="Q999" i="3" s="1"/>
  <c r="R999" i="3" s="1"/>
  <c r="S999" i="3" s="1"/>
  <c r="T999" i="3" l="1"/>
  <c r="L998" i="3"/>
  <c r="AG999" i="3" l="1"/>
  <c r="U998" i="3"/>
  <c r="D999" i="3" s="1"/>
  <c r="AH999" i="3"/>
  <c r="Y997" i="3"/>
  <c r="E999" i="3" l="1"/>
  <c r="H999" i="3" s="1"/>
  <c r="K999" i="3" s="1"/>
  <c r="AE999" i="3" s="1"/>
  <c r="G999" i="3"/>
  <c r="F999" i="3" l="1"/>
  <c r="I999" i="3"/>
  <c r="J999" i="3"/>
  <c r="M999" i="3"/>
  <c r="N999" i="3" s="1"/>
  <c r="V999" i="3"/>
  <c r="A1000" i="3"/>
  <c r="B1000" i="3" s="1"/>
  <c r="W999" i="3" l="1"/>
  <c r="L999" i="3"/>
  <c r="AC1000" i="3"/>
  <c r="AD1000" i="3"/>
  <c r="P1000" i="3"/>
  <c r="Q1000" i="3" s="1"/>
  <c r="R1000" i="3" s="1"/>
  <c r="S1000" i="3" s="1"/>
  <c r="Z1000" i="3"/>
  <c r="AA1000" i="3"/>
  <c r="U999" i="3" l="1"/>
  <c r="Y998" i="3"/>
  <c r="T1000" i="3"/>
  <c r="AG1000" i="3" s="1"/>
  <c r="D1000" i="3" l="1"/>
  <c r="G1000" i="3" s="1"/>
  <c r="AH1000" i="3"/>
  <c r="E1000" i="3"/>
  <c r="H1000" i="3" s="1"/>
  <c r="K1000" i="3" s="1"/>
  <c r="AE1000" i="3" s="1"/>
  <c r="F1000" i="3" l="1"/>
  <c r="I1000" i="3"/>
  <c r="J1000" i="3"/>
  <c r="M1000" i="3"/>
  <c r="N1000" i="3" s="1"/>
  <c r="V1000" i="3"/>
  <c r="A1001" i="3"/>
  <c r="B1001" i="3" s="1"/>
  <c r="W1000" i="3" l="1"/>
  <c r="L1000" i="3"/>
  <c r="P1001" i="3"/>
  <c r="Q1001" i="3" s="1"/>
  <c r="R1001" i="3" s="1"/>
  <c r="S1001" i="3" s="1"/>
  <c r="Z1001" i="3"/>
  <c r="AC1001" i="3"/>
  <c r="AA1001" i="3"/>
  <c r="AD1001" i="3"/>
  <c r="U1000" i="3" l="1"/>
  <c r="Y999" i="3"/>
  <c r="T1001" i="3"/>
  <c r="D1001" i="3" l="1"/>
  <c r="G1001" i="3" s="1"/>
  <c r="E1001" i="3"/>
  <c r="H1001" i="3" s="1"/>
  <c r="AG1001" i="3"/>
  <c r="AH1001" i="3"/>
  <c r="F1001" i="3" l="1"/>
  <c r="I1001" i="3"/>
  <c r="J1001" i="3"/>
  <c r="M1001" i="3"/>
  <c r="N1001" i="3" s="1"/>
  <c r="K1001" i="3"/>
  <c r="AE1001" i="3" s="1"/>
  <c r="V1001" i="3" l="1"/>
  <c r="W1001" i="3" s="1"/>
  <c r="A1002" i="3"/>
  <c r="B1002" i="3" s="1"/>
  <c r="L1001" i="3"/>
  <c r="U1001" i="3" l="1"/>
  <c r="Y1000" i="3"/>
  <c r="AD1002" i="3"/>
  <c r="AA1002" i="3"/>
  <c r="Z1002" i="3"/>
  <c r="AC1002" i="3"/>
  <c r="P1002" i="3"/>
  <c r="Q1002" i="3" s="1"/>
  <c r="R1002" i="3" s="1"/>
  <c r="S1002" i="3" s="1"/>
  <c r="T1002" i="3" l="1"/>
  <c r="AG1002" i="3" s="1"/>
  <c r="AH1002" i="3" l="1"/>
  <c r="D1002" i="3"/>
  <c r="G1002" i="3" s="1"/>
  <c r="E1002" i="3"/>
  <c r="H1002" i="3" s="1"/>
  <c r="K1002" i="3" s="1"/>
  <c r="AE1002" i="3" s="1"/>
  <c r="F1002" i="3" l="1"/>
  <c r="I1002" i="3"/>
  <c r="J1002" i="3"/>
  <c r="M1002" i="3"/>
  <c r="N1002" i="3" s="1"/>
  <c r="V1002" i="3"/>
  <c r="A1003" i="3"/>
  <c r="B1003" i="3" s="1"/>
  <c r="W1002" i="3" l="1"/>
  <c r="L1002" i="3"/>
  <c r="AC1003" i="3"/>
  <c r="P1003" i="3"/>
  <c r="Q1003" i="3" s="1"/>
  <c r="R1003" i="3" s="1"/>
  <c r="S1003" i="3" s="1"/>
  <c r="AA1003" i="3"/>
  <c r="Z1003" i="3"/>
  <c r="AD1003" i="3"/>
  <c r="T1003" i="3" l="1"/>
  <c r="AH1003" i="3" s="1"/>
  <c r="U1002" i="3"/>
  <c r="Y1001" i="3"/>
  <c r="D1003" i="3" l="1"/>
  <c r="G1003" i="3" s="1"/>
  <c r="E1003" i="3"/>
  <c r="H1003" i="3" s="1"/>
  <c r="K1003" i="3" s="1"/>
  <c r="AE1003" i="3" s="1"/>
  <c r="AG1003" i="3"/>
  <c r="F1003" i="3" l="1"/>
  <c r="I1003" i="3"/>
  <c r="J1003" i="3"/>
  <c r="M1003" i="3"/>
  <c r="N1003" i="3" s="1"/>
  <c r="V1003" i="3"/>
  <c r="A1004" i="3"/>
  <c r="B1004" i="3" s="1"/>
  <c r="W1003" i="3" l="1"/>
  <c r="L1003" i="3"/>
  <c r="P1004" i="3"/>
  <c r="Q1004" i="3" s="1"/>
  <c r="R1004" i="3" s="1"/>
  <c r="S1004" i="3" s="1"/>
  <c r="T1004" i="3" s="1"/>
  <c r="AA1004" i="3"/>
  <c r="Z1004" i="3"/>
  <c r="AC1004" i="3"/>
  <c r="AG1004" i="3" l="1"/>
  <c r="AH1004" i="3"/>
  <c r="U1003" i="3"/>
  <c r="D1004" i="3" s="1"/>
  <c r="Y1002" i="3"/>
  <c r="J50" i="1"/>
  <c r="L50" i="1"/>
  <c r="I50" i="1"/>
  <c r="J26" i="1"/>
  <c r="K50" i="1"/>
  <c r="M50" i="1"/>
  <c r="K26" i="1"/>
  <c r="I26" i="1"/>
  <c r="K28" i="1"/>
  <c r="I48" i="1"/>
  <c r="L48" i="1"/>
  <c r="M48" i="1"/>
  <c r="K48" i="1"/>
  <c r="J48" i="1"/>
  <c r="I28" i="1"/>
  <c r="J28" i="1"/>
  <c r="E1004" i="3" l="1"/>
  <c r="H1004" i="3" s="1"/>
  <c r="K1004" i="3" s="1"/>
  <c r="AE1004" i="3" s="1"/>
  <c r="C125" i="1"/>
  <c r="C158" i="1"/>
  <c r="C33" i="1"/>
  <c r="C129" i="1"/>
  <c r="C124" i="1"/>
  <c r="C127" i="1"/>
  <c r="C35" i="1"/>
  <c r="J49" i="1" s="1"/>
  <c r="C132" i="1"/>
  <c r="C133" i="1" s="1"/>
  <c r="M26" i="1"/>
  <c r="I72" i="7"/>
  <c r="I73" i="7" s="1"/>
  <c r="I70" i="7"/>
  <c r="G1004" i="3"/>
  <c r="B129" i="1"/>
  <c r="B124" i="1"/>
  <c r="B128" i="1"/>
  <c r="D158" i="1"/>
  <c r="B125" i="1"/>
  <c r="B127" i="1"/>
  <c r="B130" i="1"/>
  <c r="B126" i="1"/>
  <c r="D33" i="1"/>
  <c r="D35" i="1"/>
  <c r="J51" i="1" s="1"/>
  <c r="C149" i="1"/>
  <c r="C150" i="1" s="1"/>
  <c r="C141" i="1"/>
  <c r="C144" i="1"/>
  <c r="C146" i="1"/>
  <c r="C142" i="1"/>
  <c r="B141" i="1"/>
  <c r="B144" i="1"/>
  <c r="B143" i="1"/>
  <c r="B147" i="1"/>
  <c r="B145" i="1"/>
  <c r="B142" i="1"/>
  <c r="B146" i="1"/>
  <c r="M28" i="1"/>
  <c r="H72" i="7"/>
  <c r="H73" i="7" s="1"/>
  <c r="H70" i="7"/>
  <c r="F1004" i="3" l="1"/>
  <c r="L25" i="1" s="1"/>
  <c r="H51" i="1"/>
  <c r="D34" i="1"/>
  <c r="L44" i="1"/>
  <c r="I1004" i="3"/>
  <c r="J1004" i="3"/>
  <c r="M1004" i="3"/>
  <c r="N1004" i="3" s="1"/>
  <c r="E31" i="7"/>
  <c r="H49" i="1"/>
  <c r="C34" i="1"/>
  <c r="V1004" i="3"/>
  <c r="L1004" i="3" l="1"/>
  <c r="Y1004" i="3" s="1"/>
  <c r="AD1004" i="3"/>
  <c r="W1004" i="3"/>
  <c r="B136" i="1"/>
  <c r="B138" i="1"/>
  <c r="B134" i="1"/>
  <c r="B133" i="1" s="1"/>
  <c r="F137" i="1"/>
  <c r="F138" i="1"/>
  <c r="C136" i="1"/>
  <c r="C138" i="1"/>
  <c r="K25" i="1"/>
  <c r="K44" i="1"/>
  <c r="B151" i="1"/>
  <c r="B150" i="1" s="1"/>
  <c r="B155" i="1"/>
  <c r="B153" i="1"/>
  <c r="M43" i="1"/>
  <c r="H117" i="7"/>
  <c r="E62" i="7"/>
  <c r="F62" i="7" s="1"/>
  <c r="E120" i="7"/>
  <c r="F120" i="7" s="1"/>
  <c r="E119" i="7"/>
  <c r="F119" i="7" s="1"/>
  <c r="E133" i="7"/>
  <c r="E63" i="7"/>
  <c r="F63" i="7" s="1"/>
  <c r="H59" i="7"/>
  <c r="L31" i="7"/>
  <c r="E65" i="7"/>
  <c r="F65" i="7" s="1"/>
  <c r="Y1003" i="3" l="1"/>
  <c r="U1004" i="3"/>
  <c r="J45" i="1"/>
  <c r="I43" i="1"/>
  <c r="K43" i="1"/>
  <c r="H27" i="1"/>
  <c r="J31" i="7" s="1"/>
  <c r="L45" i="1"/>
  <c r="M45" i="1"/>
  <c r="K45" i="1"/>
  <c r="H45" i="1"/>
  <c r="I46" i="1"/>
  <c r="H46" i="1"/>
  <c r="J27" i="1"/>
  <c r="D164" i="1" s="1"/>
  <c r="M46" i="1"/>
  <c r="K27" i="1"/>
  <c r="K31" i="7" s="1"/>
  <c r="K24" i="1"/>
  <c r="S26" i="6" s="1"/>
  <c r="L43" i="1"/>
  <c r="L46" i="1"/>
  <c r="I27" i="1"/>
  <c r="B164" i="1" s="1"/>
  <c r="J43" i="1"/>
  <c r="I45" i="1"/>
  <c r="J46" i="1"/>
  <c r="H29" i="1"/>
  <c r="F155" i="1" s="1"/>
  <c r="M31" i="7"/>
  <c r="E121" i="7"/>
  <c r="F121" i="7" s="1"/>
  <c r="H116" i="7"/>
  <c r="H58" i="7"/>
  <c r="E64" i="7"/>
  <c r="F64" i="7" s="1"/>
  <c r="H55" i="7" l="1"/>
  <c r="H112" i="7"/>
  <c r="H53" i="7"/>
  <c r="P32" i="1"/>
  <c r="P33" i="1"/>
  <c r="I67" i="7"/>
  <c r="H43" i="1"/>
  <c r="K46" i="1"/>
  <c r="H47" i="1"/>
  <c r="M47" i="1"/>
  <c r="L47" i="1"/>
  <c r="K47" i="1"/>
  <c r="K29" i="1" s="1"/>
  <c r="M29" i="1" s="1"/>
  <c r="J47" i="1"/>
  <c r="J29" i="1"/>
  <c r="P31" i="1"/>
  <c r="F197" i="1"/>
  <c r="F194" i="1"/>
  <c r="F175" i="1"/>
  <c r="D189" i="1"/>
  <c r="F165" i="1"/>
  <c r="F167" i="1"/>
  <c r="D169" i="1"/>
  <c r="D195" i="1"/>
  <c r="D197" i="1"/>
  <c r="D199" i="1"/>
  <c r="D176" i="1"/>
  <c r="D171" i="1"/>
  <c r="D200" i="1"/>
  <c r="D162" i="1"/>
  <c r="D188" i="1"/>
  <c r="F198" i="1"/>
  <c r="D168" i="1"/>
  <c r="D194" i="1"/>
  <c r="F187" i="1"/>
  <c r="F166" i="1"/>
  <c r="F174" i="1"/>
  <c r="F188" i="1"/>
  <c r="F172" i="1"/>
  <c r="F173" i="1"/>
  <c r="D167" i="1"/>
  <c r="F22" i="1"/>
  <c r="D180" i="1"/>
  <c r="F201" i="1"/>
  <c r="D163" i="1"/>
  <c r="F200" i="1"/>
  <c r="D165" i="1"/>
  <c r="D173" i="1"/>
  <c r="D184" i="1"/>
  <c r="F168" i="1"/>
  <c r="F169" i="1"/>
  <c r="D193" i="1"/>
  <c r="F186" i="1"/>
  <c r="F170" i="1"/>
  <c r="H44" i="7"/>
  <c r="D174" i="1"/>
  <c r="D172" i="1"/>
  <c r="F176" i="1"/>
  <c r="D182" i="1"/>
  <c r="D192" i="1"/>
  <c r="D186" i="1"/>
  <c r="F164" i="1"/>
  <c r="F199" i="1"/>
  <c r="D196" i="1"/>
  <c r="F183" i="1"/>
  <c r="D191" i="1"/>
  <c r="F189" i="1"/>
  <c r="F163" i="1"/>
  <c r="F177" i="1"/>
  <c r="D166" i="1"/>
  <c r="D187" i="1"/>
  <c r="D198" i="1"/>
  <c r="F195" i="1"/>
  <c r="H11" i="7"/>
  <c r="F185" i="1"/>
  <c r="D183" i="1"/>
  <c r="F190" i="1"/>
  <c r="F184" i="1"/>
  <c r="F191" i="1"/>
  <c r="F182" i="1"/>
  <c r="D181" i="1"/>
  <c r="D185" i="1"/>
  <c r="F196" i="1"/>
  <c r="D177" i="1"/>
  <c r="F193" i="1"/>
  <c r="F171" i="1"/>
  <c r="D190" i="1"/>
  <c r="F192" i="1"/>
  <c r="D175" i="1"/>
  <c r="F178" i="1"/>
  <c r="F181" i="1"/>
  <c r="D170" i="1"/>
  <c r="B172" i="1"/>
  <c r="B182" i="1"/>
  <c r="B171" i="1"/>
  <c r="B187" i="1"/>
  <c r="B165" i="1"/>
  <c r="B176" i="1"/>
  <c r="B167" i="1"/>
  <c r="B175" i="1"/>
  <c r="B173" i="1"/>
  <c r="B185" i="1"/>
  <c r="H113" i="7"/>
  <c r="B181" i="1"/>
  <c r="B200" i="1"/>
  <c r="B189" i="1"/>
  <c r="B166" i="1"/>
  <c r="B186" i="1"/>
  <c r="B169" i="1"/>
  <c r="H114" i="7"/>
  <c r="B199" i="1"/>
  <c r="B198" i="1"/>
  <c r="B180" i="1"/>
  <c r="B192" i="1"/>
  <c r="C159" i="1"/>
  <c r="B193" i="1"/>
  <c r="E128" i="7"/>
  <c r="F128" i="7" s="1"/>
  <c r="B195" i="1"/>
  <c r="B174" i="1"/>
  <c r="B183" i="1"/>
  <c r="B191" i="1"/>
  <c r="B194" i="1"/>
  <c r="B177" i="1"/>
  <c r="B184" i="1"/>
  <c r="B196" i="1"/>
  <c r="F136" i="1"/>
  <c r="C137" i="1" s="1"/>
  <c r="B190" i="1"/>
  <c r="B163" i="1"/>
  <c r="B170" i="1"/>
  <c r="B197" i="1"/>
  <c r="H31" i="7"/>
  <c r="B162" i="1"/>
  <c r="B168" i="1"/>
  <c r="H54" i="7"/>
  <c r="B188" i="1"/>
  <c r="B159" i="1"/>
  <c r="H57" i="7"/>
  <c r="F154" i="1"/>
  <c r="B152" i="1" s="1"/>
  <c r="H115" i="7" l="1"/>
  <c r="S25" i="6"/>
  <c r="D31" i="7"/>
  <c r="D159" i="1"/>
  <c r="H19" i="7"/>
  <c r="C121" i="1"/>
  <c r="P30" i="1"/>
  <c r="B121" i="1"/>
  <c r="H56" i="7"/>
  <c r="E129" i="7"/>
  <c r="F129" i="7" s="1"/>
  <c r="B154" i="1"/>
  <c r="C135" i="1"/>
  <c r="C154" i="1"/>
  <c r="C152" i="1"/>
  <c r="B135" i="1"/>
  <c r="B137" i="1"/>
  <c r="C10"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M363040</author>
    <author>Léo Côme</author>
    <author>collectif</author>
  </authors>
  <commentList>
    <comment ref="M5" authorId="0" shapeId="0" xr:uid="{00000000-0006-0000-0000-000001000000}">
      <text>
        <r>
          <rPr>
            <sz val="8"/>
            <color indexed="8"/>
            <rFont val="Tahoma"/>
            <family val="2"/>
          </rPr>
          <t xml:space="preserve">Définir les propriétés du 1er changement de diamètre.
Laisser cette colonne vide si la fusée n'a pas de Jupe ou Rétreint.
</t>
        </r>
        <r>
          <rPr>
            <i/>
            <sz val="8"/>
            <color indexed="8"/>
            <rFont val="Tahoma"/>
            <family val="2"/>
          </rPr>
          <t>Set properties of the 1st diameter transition.
Leave this column blank if no skirt/shrink on the rocket.</t>
        </r>
      </text>
    </comment>
    <comment ref="O5" authorId="0" shapeId="0" xr:uid="{00000000-0006-0000-0000-000002000000}">
      <text>
        <r>
          <rPr>
            <sz val="8"/>
            <color indexed="8"/>
            <rFont val="Tahoma"/>
            <family val="2"/>
          </rPr>
          <t xml:space="preserve">Définir les propriétés du 2e changement de diamètre.
Laisser cette colonne vide si la fusée n'a pas de 2e Jupe ou Rétreint.
</t>
        </r>
        <r>
          <rPr>
            <i/>
            <sz val="8"/>
            <color indexed="8"/>
            <rFont val="Tahoma"/>
            <family val="2"/>
          </rPr>
          <t>Set properties of the 2nd diameter transition.
Leave this column blank if no 2nd skirt/shrink on the rocket.</t>
        </r>
      </text>
    </comment>
    <comment ref="L6" authorId="1" shapeId="0" xr:uid="{00000000-0006-0000-0000-000003000000}">
      <text>
        <r>
          <rPr>
            <b/>
            <sz val="8"/>
            <color indexed="8"/>
            <rFont val="Tahoma"/>
            <family val="2"/>
          </rPr>
          <t>Hauteur</t>
        </r>
        <r>
          <rPr>
            <sz val="8"/>
            <color indexed="8"/>
            <rFont val="Tahoma"/>
            <family val="2"/>
          </rPr>
          <t xml:space="preserve"> du changement de diamètre (cf. schéma sur fond bleu).
</t>
        </r>
        <r>
          <rPr>
            <i/>
            <sz val="8"/>
            <color indexed="8"/>
            <rFont val="Tahoma"/>
            <family val="2"/>
          </rPr>
          <t>Height of the tronconical transition (cf. blue schematic).</t>
        </r>
      </text>
    </comment>
    <comment ref="L7" authorId="1" shapeId="0" xr:uid="{00000000-0006-0000-0000-000004000000}">
      <text>
        <r>
          <rPr>
            <sz val="8"/>
            <color indexed="8"/>
            <rFont val="Tahoma"/>
            <family val="2"/>
          </rPr>
          <t xml:space="preserve">Diamètre de la partie située </t>
        </r>
        <r>
          <rPr>
            <b/>
            <sz val="8"/>
            <color indexed="8"/>
            <rFont val="Tahoma"/>
            <family val="2"/>
          </rPr>
          <t>au dessus</t>
        </r>
        <r>
          <rPr>
            <sz val="8"/>
            <color indexed="8"/>
            <rFont val="Tahoma"/>
            <family val="2"/>
          </rPr>
          <t xml:space="preserve"> du changement de diamètre.
</t>
        </r>
        <r>
          <rPr>
            <i/>
            <sz val="8"/>
            <color indexed="8"/>
            <rFont val="Tahoma"/>
            <family val="2"/>
          </rPr>
          <t>Upper Diameter (cf. blue schematic).</t>
        </r>
      </text>
    </comment>
    <comment ref="L8" authorId="1" shapeId="0" xr:uid="{00000000-0006-0000-0000-000005000000}">
      <text>
        <r>
          <rPr>
            <sz val="8"/>
            <color indexed="8"/>
            <rFont val="Tahoma"/>
            <family val="2"/>
          </rPr>
          <t xml:space="preserve">Diamètre de la partie située </t>
        </r>
        <r>
          <rPr>
            <b/>
            <sz val="8"/>
            <color indexed="8"/>
            <rFont val="Tahoma"/>
            <family val="2"/>
          </rPr>
          <t>en dessous</t>
        </r>
        <r>
          <rPr>
            <sz val="8"/>
            <color indexed="8"/>
            <rFont val="Tahoma"/>
            <family val="2"/>
          </rPr>
          <t xml:space="preserve"> du changement de diamètre.
</t>
        </r>
        <r>
          <rPr>
            <i/>
            <sz val="8"/>
            <color indexed="8"/>
            <rFont val="Tahoma"/>
            <family val="2"/>
          </rPr>
          <t>Lower Diameter (cf. blue schematic).</t>
        </r>
      </text>
    </comment>
    <comment ref="L9" authorId="0" shapeId="0" xr:uid="{00000000-0006-0000-0000-000006000000}">
      <text>
        <r>
          <rPr>
            <sz val="8"/>
            <color indexed="8"/>
            <rFont val="Tahoma"/>
            <family val="2"/>
          </rPr>
          <t xml:space="preserve">Distance entre la pointe de l'ogive et le haut du changement de diamètre.
</t>
        </r>
        <r>
          <rPr>
            <i/>
            <sz val="8"/>
            <color indexed="8"/>
            <rFont val="Tahoma"/>
            <family val="2"/>
          </rPr>
          <t>Distance betwenn the tip of the nose cone and the top of the skirt/shrink.</t>
        </r>
      </text>
    </comment>
    <comment ref="S12" authorId="0" shapeId="0" xr:uid="{00000000-0006-0000-0000-000008000000}">
      <text>
        <r>
          <rPr>
            <sz val="8"/>
            <color indexed="8"/>
            <rFont val="Tahoma"/>
            <family val="2"/>
          </rPr>
          <t xml:space="preserve">Distance entre la pointe de l'ogive et le </t>
        </r>
        <r>
          <rPr>
            <b/>
            <sz val="8"/>
            <color indexed="8"/>
            <rFont val="Tahoma"/>
            <family val="2"/>
          </rPr>
          <t>haut</t>
        </r>
        <r>
          <rPr>
            <sz val="8"/>
            <color indexed="8"/>
            <rFont val="Tahoma"/>
            <family val="2"/>
          </rPr>
          <t xml:space="preserve"> du propulseur (hors ergot).
</t>
        </r>
        <r>
          <rPr>
            <i/>
            <sz val="8"/>
            <color indexed="8"/>
            <rFont val="Tahoma"/>
            <family val="2"/>
          </rPr>
          <t xml:space="preserve">Distance between the tip of the nose cone and the </t>
        </r>
        <r>
          <rPr>
            <b/>
            <i/>
            <sz val="8"/>
            <color indexed="8"/>
            <rFont val="Tahoma"/>
            <family val="2"/>
          </rPr>
          <t xml:space="preserve">top </t>
        </r>
        <r>
          <rPr>
            <i/>
            <sz val="8"/>
            <color indexed="8"/>
            <rFont val="Tahoma"/>
            <family val="2"/>
          </rPr>
          <t>of the motor.</t>
        </r>
      </text>
    </comment>
    <comment ref="B13" authorId="0" shapeId="0" xr:uid="{00000000-0006-0000-0000-000007000000}">
      <text>
        <r>
          <rPr>
            <sz val="8"/>
            <color indexed="8"/>
            <rFont val="Tahoma"/>
            <family val="2"/>
          </rPr>
          <t xml:space="preserve">Position du </t>
        </r>
        <r>
          <rPr>
            <b/>
            <sz val="8"/>
            <color indexed="8"/>
            <rFont val="Tahoma"/>
            <family val="2"/>
          </rPr>
          <t>Centre de Masse</t>
        </r>
        <r>
          <rPr>
            <sz val="8"/>
            <color indexed="8"/>
            <rFont val="Tahoma"/>
            <family val="2"/>
          </rPr>
          <t xml:space="preserve"> (CdG) par rapport à la pointe de l'ogive,
à mesurer ou estimer sur votre fusée.
</t>
        </r>
        <r>
          <rPr>
            <i/>
            <sz val="8"/>
            <color indexed="8"/>
            <rFont val="Tahoma"/>
            <family val="2"/>
          </rPr>
          <t>Position of Center of Mass (CoG) from the top of the nose cone.</t>
        </r>
      </text>
    </comment>
    <comment ref="L13" authorId="1" shapeId="0" xr:uid="{00000000-0006-0000-0000-00000A000000}">
      <text>
        <r>
          <rPr>
            <sz val="8"/>
            <color indexed="8"/>
            <rFont val="Tahoma"/>
            <family val="2"/>
          </rPr>
          <t xml:space="preserve">Centre de Masse du propulseur par rapport au haut du propulseur.
</t>
        </r>
        <r>
          <rPr>
            <i/>
            <sz val="8"/>
            <color indexed="8"/>
            <rFont val="Tahoma"/>
            <family val="2"/>
          </rPr>
          <t>Motor Center of Mass, mesured from top of motor.</t>
        </r>
      </text>
    </comment>
    <comment ref="B14" authorId="0" shapeId="0" xr:uid="{00000000-0006-0000-0000-000009000000}">
      <text>
        <r>
          <rPr>
            <sz val="8"/>
            <color indexed="8"/>
            <rFont val="Tahoma"/>
            <family val="2"/>
          </rPr>
          <t xml:space="preserve">Longueur totale du fuselage avec l'ogive,
hors propu hors antenne hors ailerons.
</t>
        </r>
        <r>
          <rPr>
            <i/>
            <sz val="8"/>
            <color indexed="8"/>
            <rFont val="Tahoma"/>
            <family val="2"/>
          </rPr>
          <t>Total length of the body including nose cone.</t>
        </r>
      </text>
    </comment>
    <comment ref="S14" authorId="0" shapeId="0" xr:uid="{00000000-0006-0000-0000-00000C000000}">
      <text>
        <r>
          <rPr>
            <sz val="8"/>
            <color indexed="8"/>
            <rFont val="Tahoma"/>
            <family val="2"/>
          </rPr>
          <t xml:space="preserve">Distance entre la pointe de l'ogive et le </t>
        </r>
        <r>
          <rPr>
            <b/>
            <sz val="8"/>
            <color indexed="8"/>
            <rFont val="Tahoma"/>
            <family val="2"/>
          </rPr>
          <t>bas</t>
        </r>
        <r>
          <rPr>
            <sz val="8"/>
            <color indexed="8"/>
            <rFont val="Tahoma"/>
            <family val="2"/>
          </rPr>
          <t xml:space="preserve"> du propulseur (hors tuyère).
</t>
        </r>
        <r>
          <rPr>
            <i/>
            <sz val="8"/>
            <color indexed="8"/>
            <rFont val="Tahoma"/>
            <family val="2"/>
          </rPr>
          <t xml:space="preserve">Distance between the tip of the nose cone and the </t>
        </r>
        <r>
          <rPr>
            <b/>
            <i/>
            <sz val="8"/>
            <color indexed="8"/>
            <rFont val="Tahoma"/>
            <family val="2"/>
          </rPr>
          <t>bottom</t>
        </r>
        <r>
          <rPr>
            <i/>
            <sz val="8"/>
            <color indexed="8"/>
            <rFont val="Tahoma"/>
            <family val="2"/>
          </rPr>
          <t xml:space="preserve"> of the motor.</t>
        </r>
      </text>
    </comment>
    <comment ref="B15" authorId="0" shapeId="0" xr:uid="{00000000-0006-0000-0000-00000B000000}">
      <text>
        <r>
          <rPr>
            <sz val="8"/>
            <color indexed="8"/>
            <rFont val="Tahoma"/>
            <family val="2"/>
          </rPr>
          <t xml:space="preserve">Diamètre de référence, utilisé pour calculer : Cnα, Finesse, Marge Statique.
Par défaut D_réf = D_ogive ; on peux écraser avec le diamètre "principal".
</t>
        </r>
        <r>
          <rPr>
            <i/>
            <sz val="8"/>
            <color indexed="8"/>
            <rFont val="Tahoma"/>
            <family val="2"/>
          </rPr>
          <t>Reference Diameter, used to compute: Cnα, Finesse, Static Margin.
By default D_ref = D_ogive ; one can overwrtie with the "main" diameter.</t>
        </r>
      </text>
    </comment>
    <comment ref="L15" authorId="1" shapeId="0" xr:uid="{00000000-0006-0000-0000-00000D000000}">
      <text>
        <r>
          <rPr>
            <sz val="8"/>
            <color indexed="8"/>
            <rFont val="Tahoma"/>
            <family val="2"/>
          </rPr>
          <t xml:space="preserve">Les positions des </t>
        </r>
        <r>
          <rPr>
            <sz val="8"/>
            <color indexed="12"/>
            <rFont val="Tahoma"/>
            <family val="2"/>
          </rPr>
          <t>Centres de Masse</t>
        </r>
        <r>
          <rPr>
            <sz val="8"/>
            <color indexed="8"/>
            <rFont val="Tahoma"/>
            <family val="2"/>
          </rPr>
          <t xml:space="preserve"> de la fusée avec propulseur plein et vide
sont représentées sur le schéma de la fusée par un </t>
        </r>
        <r>
          <rPr>
            <sz val="8"/>
            <color indexed="12"/>
            <rFont val="Tahoma"/>
            <family val="2"/>
          </rPr>
          <t>segment vertical bleu</t>
        </r>
        <r>
          <rPr>
            <sz val="8"/>
            <color indexed="8"/>
            <rFont val="Tahoma"/>
            <family val="2"/>
          </rPr>
          <t xml:space="preserve">.
</t>
        </r>
        <r>
          <rPr>
            <i/>
            <sz val="8"/>
            <color indexed="8"/>
            <rFont val="Tahoma"/>
            <family val="2"/>
          </rPr>
          <t xml:space="preserve">Rocket Center of Mass are shown whith a </t>
        </r>
        <r>
          <rPr>
            <i/>
            <sz val="8"/>
            <color indexed="12"/>
            <rFont val="Tahoma"/>
            <family val="2"/>
          </rPr>
          <t>blue segment</t>
        </r>
        <r>
          <rPr>
            <i/>
            <sz val="8"/>
            <color indexed="8"/>
            <rFont val="Tahoma"/>
            <family val="2"/>
          </rPr>
          <t xml:space="preserve"> in Rocket schematic.</t>
        </r>
      </text>
    </comment>
    <comment ref="S17" authorId="0" shapeId="0" xr:uid="{00000000-0006-0000-0000-00000E000000}">
      <text>
        <r>
          <rPr>
            <sz val="8"/>
            <color indexed="8"/>
            <rFont val="Tahoma"/>
            <family val="2"/>
          </rPr>
          <t xml:space="preserve">Distance entre la pointe de l'ogive et le point </t>
        </r>
        <r>
          <rPr>
            <b/>
            <sz val="8"/>
            <color indexed="8"/>
            <rFont val="Tahoma"/>
            <family val="2"/>
          </rPr>
          <t>supérieur</t>
        </r>
        <r>
          <rPr>
            <sz val="8"/>
            <color indexed="8"/>
            <rFont val="Tahoma"/>
            <family val="2"/>
          </rPr>
          <t xml:space="preserve"> de l'encastrement des ailerons.
</t>
        </r>
        <r>
          <rPr>
            <i/>
            <sz val="8"/>
            <color indexed="8"/>
            <rFont val="Tahoma"/>
            <family val="2"/>
          </rPr>
          <t xml:space="preserve">Distance between the tip of the nose and the </t>
        </r>
        <r>
          <rPr>
            <b/>
            <i/>
            <sz val="8"/>
            <color indexed="8"/>
            <rFont val="Tahoma"/>
            <family val="2"/>
          </rPr>
          <t>upper</t>
        </r>
        <r>
          <rPr>
            <i/>
            <sz val="8"/>
            <color indexed="8"/>
            <rFont val="Tahoma"/>
            <family val="2"/>
          </rPr>
          <t xml:space="preserve"> point of fins attachment on the rocket.</t>
        </r>
      </text>
    </comment>
    <comment ref="S18" authorId="1" shapeId="0" xr:uid="{00000000-0006-0000-0000-000010000000}">
      <text>
        <r>
          <rPr>
            <sz val="8"/>
            <color indexed="8"/>
            <rFont val="Tahoma"/>
            <family val="2"/>
          </rPr>
          <t>Longueur de l'</t>
        </r>
        <r>
          <rPr>
            <b/>
            <sz val="8"/>
            <color indexed="8"/>
            <rFont val="Tahoma"/>
            <family val="2"/>
          </rPr>
          <t>e</t>
        </r>
        <r>
          <rPr>
            <b/>
            <u/>
            <sz val="8"/>
            <color indexed="8"/>
            <rFont val="Tahoma"/>
            <family val="2"/>
          </rPr>
          <t>m</t>
        </r>
        <r>
          <rPr>
            <b/>
            <sz val="8"/>
            <color indexed="8"/>
            <rFont val="Tahoma"/>
            <family val="2"/>
          </rPr>
          <t>planture</t>
        </r>
        <r>
          <rPr>
            <sz val="8"/>
            <color indexed="8"/>
            <rFont val="Tahoma"/>
            <family val="2"/>
          </rPr>
          <t xml:space="preserve"> d'un aileron.
</t>
        </r>
        <r>
          <rPr>
            <i/>
            <sz val="8"/>
            <color indexed="8"/>
            <rFont val="Tahoma"/>
            <family val="2"/>
          </rPr>
          <t>Root edge length of one fin.</t>
        </r>
      </text>
    </comment>
    <comment ref="B19" authorId="0" shapeId="0" xr:uid="{00000000-0006-0000-0000-00000F000000}">
      <text>
        <r>
          <rPr>
            <sz val="8"/>
            <color indexed="8"/>
            <rFont val="Tahoma"/>
            <family val="2"/>
          </rPr>
          <t xml:space="preserve">Distance entre la pointe de l'ogive et le </t>
        </r>
        <r>
          <rPr>
            <b/>
            <sz val="8"/>
            <color indexed="8"/>
            <rFont val="Tahoma"/>
            <family val="2"/>
          </rPr>
          <t>bas</t>
        </r>
        <r>
          <rPr>
            <sz val="8"/>
            <color indexed="8"/>
            <rFont val="Tahoma"/>
            <family val="2"/>
          </rPr>
          <t xml:space="preserve"> du propulseur (hors tuyère).
</t>
        </r>
        <r>
          <rPr>
            <i/>
            <sz val="8"/>
            <color indexed="8"/>
            <rFont val="Tahoma"/>
            <family val="2"/>
          </rPr>
          <t xml:space="preserve">Distance between the tip of the nose cone and the </t>
        </r>
        <r>
          <rPr>
            <b/>
            <i/>
            <sz val="8"/>
            <color indexed="8"/>
            <rFont val="Tahoma"/>
            <family val="2"/>
          </rPr>
          <t>bottom</t>
        </r>
        <r>
          <rPr>
            <i/>
            <sz val="8"/>
            <color indexed="8"/>
            <rFont val="Tahoma"/>
            <family val="2"/>
          </rPr>
          <t xml:space="preserve"> of the motor.</t>
        </r>
      </text>
    </comment>
    <comment ref="S19" authorId="0" shapeId="0" xr:uid="{00000000-0006-0000-0000-000011000000}">
      <text>
        <r>
          <rPr>
            <sz val="8"/>
            <color indexed="8"/>
            <rFont val="Tahoma"/>
            <family val="2"/>
          </rPr>
          <t xml:space="preserve">Distance entre la pointe de l'ogive et le point </t>
        </r>
        <r>
          <rPr>
            <b/>
            <sz val="8"/>
            <color indexed="8"/>
            <rFont val="Tahoma"/>
            <family val="2"/>
          </rPr>
          <t>inférieur</t>
        </r>
        <r>
          <rPr>
            <sz val="8"/>
            <color indexed="8"/>
            <rFont val="Tahoma"/>
            <family val="2"/>
          </rPr>
          <t xml:space="preserve"> de l'encastrement des ailerons.
</t>
        </r>
        <r>
          <rPr>
            <i/>
            <sz val="8"/>
            <color indexed="8"/>
            <rFont val="Tahoma"/>
            <family val="2"/>
          </rPr>
          <t xml:space="preserve">Distance between the tip of the nose and the </t>
        </r>
        <r>
          <rPr>
            <b/>
            <i/>
            <sz val="8"/>
            <color indexed="8"/>
            <rFont val="Tahoma"/>
            <family val="2"/>
          </rPr>
          <t>lower</t>
        </r>
        <r>
          <rPr>
            <i/>
            <sz val="8"/>
            <color indexed="8"/>
            <rFont val="Tahoma"/>
            <family val="2"/>
          </rPr>
          <t xml:space="preserve"> point of fins attachment on the rocket.</t>
        </r>
      </text>
    </comment>
    <comment ref="B24" authorId="0" shapeId="0" xr:uid="{00000000-0006-0000-0000-000012000000}">
      <text>
        <r>
          <rPr>
            <sz val="8"/>
            <color indexed="8"/>
            <rFont val="Tahoma"/>
            <family val="2"/>
          </rPr>
          <t xml:space="preserve">Diamètre à la base de l'ogive.
</t>
        </r>
        <r>
          <rPr>
            <i/>
            <sz val="8"/>
            <color indexed="8"/>
            <rFont val="Tahoma"/>
            <family val="2"/>
          </rPr>
          <t>Diameter at the basement of the nose cone.</t>
        </r>
      </text>
    </comment>
    <comment ref="E25" authorId="1" shapeId="0" xr:uid="{00000000-0006-0000-0000-000013000000}">
      <text>
        <r>
          <rPr>
            <sz val="8"/>
            <color indexed="8"/>
            <rFont val="Tahoma"/>
            <family val="2"/>
          </rPr>
          <t xml:space="preserve">Les parties masquées des ailerons du bas sont représentées 
sur le schéma de la fusée par des </t>
        </r>
        <r>
          <rPr>
            <sz val="8"/>
            <color indexed="10"/>
            <rFont val="Tahoma"/>
            <family val="2"/>
          </rPr>
          <t>zones en rouge</t>
        </r>
        <r>
          <rPr>
            <sz val="8"/>
            <color indexed="8"/>
            <rFont val="Tahoma"/>
            <family val="2"/>
          </rPr>
          <t xml:space="preserve">.
Ce sont les parties situées juste en dessous des ailerons du haut.
</t>
        </r>
        <r>
          <rPr>
            <i/>
            <sz val="8"/>
            <color indexed="8"/>
            <rFont val="Tahoma"/>
            <family val="2"/>
          </rPr>
          <t xml:space="preserve">The fin-fin interaction zone is located just below the upper fins,
shown in </t>
        </r>
        <r>
          <rPr>
            <i/>
            <sz val="8"/>
            <color indexed="10"/>
            <rFont val="Tahoma"/>
            <family val="2"/>
          </rPr>
          <t>red</t>
        </r>
        <r>
          <rPr>
            <i/>
            <sz val="8"/>
            <color indexed="8"/>
            <rFont val="Tahoma"/>
            <family val="2"/>
          </rPr>
          <t xml:space="preserve"> in the Rocket schematic.</t>
        </r>
      </text>
    </comment>
    <comment ref="F27" authorId="0" shapeId="0" xr:uid="{00000000-0006-0000-0000-000015000000}">
      <text>
        <r>
          <rPr>
            <sz val="8"/>
            <color indexed="8"/>
            <rFont val="Tahoma"/>
            <family val="2"/>
          </rPr>
          <t xml:space="preserve">La </t>
        </r>
        <r>
          <rPr>
            <b/>
            <sz val="8"/>
            <color indexed="8"/>
            <rFont val="Tahoma"/>
            <family val="2"/>
          </rPr>
          <t>Finesse</t>
        </r>
        <r>
          <rPr>
            <sz val="8"/>
            <color indexed="8"/>
            <rFont val="Tahoma"/>
            <family val="2"/>
          </rPr>
          <t xml:space="preserve"> représente l'allongement de la fusée, rapport Longueur/Diamètre.
</t>
        </r>
        <r>
          <rPr>
            <i/>
            <sz val="8"/>
            <color indexed="8"/>
            <rFont val="Tahoma"/>
            <family val="2"/>
          </rPr>
          <t>Finesse represents the relative length of the rocket. Finesse = L/D</t>
        </r>
      </text>
    </comment>
    <comment ref="B28" authorId="1" shapeId="0" xr:uid="{00000000-0006-0000-0000-000014000000}">
      <text>
        <r>
          <rPr>
            <sz val="8"/>
            <color indexed="8"/>
            <rFont val="Tahoma"/>
            <family val="2"/>
          </rPr>
          <t>Longueur de l'</t>
        </r>
        <r>
          <rPr>
            <b/>
            <sz val="8"/>
            <color indexed="8"/>
            <rFont val="Tahoma"/>
            <family val="2"/>
          </rPr>
          <t>e</t>
        </r>
        <r>
          <rPr>
            <b/>
            <u/>
            <sz val="8"/>
            <color indexed="8"/>
            <rFont val="Tahoma"/>
            <family val="2"/>
          </rPr>
          <t>m</t>
        </r>
        <r>
          <rPr>
            <b/>
            <sz val="8"/>
            <color indexed="8"/>
            <rFont val="Tahoma"/>
            <family val="2"/>
          </rPr>
          <t>planture</t>
        </r>
        <r>
          <rPr>
            <sz val="8"/>
            <color indexed="8"/>
            <rFont val="Tahoma"/>
            <family val="2"/>
          </rPr>
          <t xml:space="preserve"> d'un aileron.
</t>
        </r>
        <r>
          <rPr>
            <i/>
            <sz val="8"/>
            <color indexed="8"/>
            <rFont val="Tahoma"/>
            <family val="2"/>
          </rPr>
          <t>Root edge length of one fin.</t>
        </r>
      </text>
    </comment>
    <comment ref="F28" authorId="0" shapeId="0" xr:uid="{00000000-0006-0000-0000-000017000000}">
      <text>
        <r>
          <rPr>
            <sz val="8"/>
            <color indexed="8"/>
            <rFont val="Tahoma"/>
            <family val="2"/>
          </rPr>
          <t xml:space="preserve">Le gradient de </t>
        </r>
        <r>
          <rPr>
            <b/>
            <sz val="8"/>
            <color indexed="16"/>
            <rFont val="Tahoma"/>
            <family val="2"/>
          </rPr>
          <t>Portance</t>
        </r>
        <r>
          <rPr>
            <sz val="8"/>
            <color indexed="8"/>
            <rFont val="Tahoma"/>
            <family val="2"/>
          </rPr>
          <t xml:space="preserve"> Cnα indique l'efficacité des ailerons.
Pour l'augmenter, il faut augmenter la taille des ailerons, et inversement.
</t>
        </r>
        <r>
          <rPr>
            <i/>
            <sz val="8"/>
            <color indexed="16"/>
            <rFont val="Tahoma"/>
            <family val="2"/>
          </rPr>
          <t>Lift</t>
        </r>
        <r>
          <rPr>
            <i/>
            <sz val="8"/>
            <color indexed="8"/>
            <rFont val="Tahoma"/>
            <family val="2"/>
          </rPr>
          <t xml:space="preserve"> gradient, Cnα, represents the fins efficiency. 
To increase it, one must increase the size of the fins, and conversely.</t>
        </r>
      </text>
    </comment>
    <comment ref="B29" authorId="1" shapeId="0" xr:uid="{00000000-0006-0000-0000-000016000000}">
      <text>
        <r>
          <rPr>
            <sz val="8"/>
            <color indexed="8"/>
            <rFont val="Tahoma"/>
            <family val="2"/>
          </rPr>
          <t xml:space="preserve">Longueur du </t>
        </r>
        <r>
          <rPr>
            <b/>
            <sz val="8"/>
            <color indexed="8"/>
            <rFont val="Tahoma"/>
            <family val="2"/>
          </rPr>
          <t>saumo</t>
        </r>
        <r>
          <rPr>
            <b/>
            <u/>
            <sz val="8"/>
            <color indexed="8"/>
            <rFont val="Tahoma"/>
            <family val="2"/>
          </rPr>
          <t>n</t>
        </r>
        <r>
          <rPr>
            <sz val="8"/>
            <color indexed="8"/>
            <rFont val="Tahoma"/>
            <family val="2"/>
          </rPr>
          <t xml:space="preserve"> d'un aileron.
</t>
        </r>
        <r>
          <rPr>
            <i/>
            <sz val="8"/>
            <color indexed="8"/>
            <rFont val="Tahoma"/>
            <family val="2"/>
          </rPr>
          <t>Tip edge length of one fin.</t>
        </r>
      </text>
    </comment>
    <comment ref="F29" authorId="0" shapeId="0" xr:uid="{00000000-0006-0000-0000-000019000000}">
      <text>
        <r>
          <rPr>
            <sz val="8"/>
            <color indexed="8"/>
            <rFont val="Tahoma"/>
            <family val="2"/>
          </rPr>
          <t xml:space="preserve">La </t>
        </r>
        <r>
          <rPr>
            <b/>
            <sz val="8"/>
            <color indexed="8"/>
            <rFont val="Tahoma"/>
            <family val="2"/>
          </rPr>
          <t>Marge Statique</t>
        </r>
        <r>
          <rPr>
            <sz val="8"/>
            <color indexed="8"/>
            <rFont val="Tahoma"/>
            <family val="2"/>
          </rPr>
          <t xml:space="preserve">, MS, est la distance entre le Centre de Masse et le Centre de Pression, 
exprimée en nombre de Diamètre de Référence, pour une fusée avec propulseur plein puis vide.
Pour augmenter la MS, il faut soit :
- abaisser le Centre de Portance (position des ailerons)
- rehausser le Centre de Masse
</t>
        </r>
        <r>
          <rPr>
            <i/>
            <sz val="8"/>
            <color indexed="8"/>
            <rFont val="Tahoma"/>
            <family val="2"/>
          </rPr>
          <t>Static Margin, MS, is the distance between the Center of Mass and the Center of Pressure, 
measured in number of reference diameter, for a rocket with loaded motor, then empty motor.
In order to increase MS, one must either:
- lower the Center of Pressure (position of fins)
- Move up the Center of Mass</t>
        </r>
      </text>
    </comment>
    <comment ref="B30" authorId="1" shapeId="0" xr:uid="{00000000-0006-0000-0000-000018000000}">
      <text>
        <r>
          <rPr>
            <b/>
            <sz val="8"/>
            <color indexed="8"/>
            <rFont val="Tahoma"/>
            <family val="2"/>
          </rPr>
          <t>Flèche</t>
        </r>
        <r>
          <rPr>
            <sz val="8"/>
            <color indexed="8"/>
            <rFont val="Tahoma"/>
            <family val="2"/>
          </rPr>
          <t xml:space="preserve"> du bord d'attaque (négatif si besoin).
</t>
        </r>
        <r>
          <rPr>
            <i/>
            <sz val="8"/>
            <color indexed="8"/>
            <rFont val="Tahoma"/>
            <family val="2"/>
          </rPr>
          <t>Offset of the Leading edge.</t>
        </r>
      </text>
    </comment>
    <comment ref="F30" authorId="0" shapeId="0" xr:uid="{00000000-0006-0000-0000-00001B000000}">
      <text>
        <r>
          <rPr>
            <sz val="8"/>
            <color indexed="8"/>
            <rFont val="Tahoma"/>
            <family val="2"/>
          </rPr>
          <t xml:space="preserve">Le </t>
        </r>
        <r>
          <rPr>
            <b/>
            <sz val="8"/>
            <color indexed="8"/>
            <rFont val="Tahoma"/>
            <family val="2"/>
          </rPr>
          <t>produit</t>
        </r>
        <r>
          <rPr>
            <sz val="8"/>
            <color indexed="8"/>
            <rFont val="Tahoma"/>
            <family val="2"/>
          </rPr>
          <t xml:space="preserve"> MS*Cnα représente le </t>
        </r>
        <r>
          <rPr>
            <b/>
            <sz val="8"/>
            <color indexed="8"/>
            <rFont val="Tahoma"/>
            <family val="2"/>
          </rPr>
          <t>couple</t>
        </r>
        <r>
          <rPr>
            <sz val="8"/>
            <color indexed="8"/>
            <rFont val="Tahoma"/>
            <family val="2"/>
          </rPr>
          <t xml:space="preserve"> de rappel de la Portance.
Pour augmenter le produit, il faut augmenter la MS et/ou le Cnα, et inversement.
</t>
        </r>
        <r>
          <rPr>
            <i/>
            <sz val="8"/>
            <color indexed="8"/>
            <rFont val="Tahoma"/>
            <family val="2"/>
          </rPr>
          <t>The product MS*Cnα represents the lift torque.
To increase it, one must increase the Static Margin and/or the Cnα, and conversely.</t>
        </r>
      </text>
    </comment>
    <comment ref="B31" authorId="1" shapeId="0" xr:uid="{00000000-0006-0000-0000-00001A000000}">
      <text>
        <r>
          <rPr>
            <b/>
            <u/>
            <sz val="8"/>
            <color indexed="8"/>
            <rFont val="Tahoma"/>
            <family val="2"/>
          </rPr>
          <t>E</t>
        </r>
        <r>
          <rPr>
            <b/>
            <sz val="8"/>
            <color indexed="8"/>
            <rFont val="Tahoma"/>
            <family val="2"/>
          </rPr>
          <t>nvergure</t>
        </r>
        <r>
          <rPr>
            <sz val="8"/>
            <color indexed="8"/>
            <rFont val="Tahoma"/>
            <family val="2"/>
          </rPr>
          <t xml:space="preserve"> d'un aileron.
</t>
        </r>
        <r>
          <rPr>
            <i/>
            <sz val="8"/>
            <color indexed="8"/>
            <rFont val="Tahoma"/>
            <family val="2"/>
          </rPr>
          <t>Span of one fin.</t>
        </r>
      </text>
    </comment>
    <comment ref="F31" authorId="0" shapeId="0" xr:uid="{00000000-0006-0000-0000-00001C000000}">
      <text>
        <r>
          <rPr>
            <sz val="8"/>
            <color indexed="8"/>
            <rFont val="Tahoma"/>
            <family val="2"/>
          </rPr>
          <t xml:space="preserve">Le Xcp est la </t>
        </r>
        <r>
          <rPr>
            <b/>
            <sz val="8"/>
            <color indexed="16"/>
            <rFont val="Tahoma"/>
            <family val="2"/>
          </rPr>
          <t>position du Centre de Poussée Aérodynamique</t>
        </r>
        <r>
          <rPr>
            <sz val="8"/>
            <color indexed="8"/>
            <rFont val="Tahoma"/>
            <family val="2"/>
          </rPr>
          <t xml:space="preserve"> (CPA), 
aussi appelé Centre de Pression (CP), Centre Latéral de Poussée (CLP), 
ou Foyer, exprimée par rapport à la pointe de l'ogive.
</t>
        </r>
        <r>
          <rPr>
            <i/>
            <sz val="8"/>
            <color indexed="8"/>
            <rFont val="Tahoma"/>
            <family val="2"/>
          </rPr>
          <t>Xcp is the location of the Aerodynamics Center of Pressure, 
measured from the tip of the nose cone.</t>
        </r>
      </text>
    </comment>
    <comment ref="F32" authorId="2" shapeId="0" xr:uid="{00000000-0006-0000-0000-00001D000000}">
      <text>
        <r>
          <rPr>
            <sz val="8"/>
            <color indexed="8"/>
            <rFont val="Tahoma"/>
            <family val="2"/>
          </rPr>
          <t xml:space="preserve">Cette Marge Statique est la distance entre le Centre de Masse et le Centre de Pression, 
exprimée en </t>
        </r>
        <r>
          <rPr>
            <b/>
            <sz val="8"/>
            <color indexed="8"/>
            <rFont val="Tahoma"/>
            <family val="2"/>
          </rPr>
          <t>% de la Longueur</t>
        </r>
        <r>
          <rPr>
            <sz val="8"/>
            <color indexed="8"/>
            <rFont val="Tahoma"/>
            <family val="2"/>
          </rPr>
          <t xml:space="preserve"> de la fusée, pour une fusée avec propulseur plein puis vide.
</t>
        </r>
        <r>
          <rPr>
            <i/>
            <sz val="8"/>
            <color indexed="8"/>
            <rFont val="Tahoma"/>
            <family val="2"/>
          </rPr>
          <t>This Static Margin is the distance between the Center of Mass and the Center of Pressure, 
measured in % of rocket length, for a rocket with loaded motor, then empty motor.</t>
        </r>
      </text>
    </comment>
    <comment ref="B34" authorId="0" shapeId="0" xr:uid="{00000000-0006-0000-0000-00001E000000}">
      <text>
        <r>
          <rPr>
            <sz val="8"/>
            <color indexed="8"/>
            <rFont val="Tahoma"/>
            <family val="2"/>
          </rPr>
          <t xml:space="preserve">Distance entre la pointe de l'ogive et le point </t>
        </r>
        <r>
          <rPr>
            <b/>
            <sz val="8"/>
            <color indexed="8"/>
            <rFont val="Tahoma"/>
            <family val="2"/>
          </rPr>
          <t>inférieur</t>
        </r>
        <r>
          <rPr>
            <sz val="8"/>
            <color indexed="8"/>
            <rFont val="Tahoma"/>
            <family val="2"/>
          </rPr>
          <t xml:space="preserve"> de l'encastrement des ailerons.
</t>
        </r>
        <r>
          <rPr>
            <i/>
            <sz val="8"/>
            <color indexed="8"/>
            <rFont val="Tahoma"/>
            <family val="2"/>
          </rPr>
          <t xml:space="preserve">Distance between the tip of the nose and the </t>
        </r>
        <r>
          <rPr>
            <b/>
            <i/>
            <sz val="8"/>
            <color indexed="8"/>
            <rFont val="Tahoma"/>
            <family val="2"/>
          </rPr>
          <t>lower</t>
        </r>
        <r>
          <rPr>
            <i/>
            <sz val="8"/>
            <color indexed="8"/>
            <rFont val="Tahoma"/>
            <family val="2"/>
          </rPr>
          <t xml:space="preserve"> point of fins attachment on the rocket.</t>
        </r>
      </text>
    </comment>
    <comment ref="B35" authorId="0" shapeId="0" xr:uid="{00000000-0006-0000-0000-00001F000000}">
      <text>
        <r>
          <rPr>
            <sz val="8"/>
            <color indexed="8"/>
            <rFont val="Tahoma"/>
            <family val="2"/>
          </rPr>
          <t xml:space="preserve">Diamètre du fuselage au niveau des ailerons.
</t>
        </r>
        <r>
          <rPr>
            <i/>
            <sz val="8"/>
            <color indexed="8"/>
            <rFont val="Tahoma"/>
            <family val="2"/>
          </rPr>
          <t>Diameter of the body at the level of the fins.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Léo Côme</author>
    <author>Léo</author>
    <author>Sylvain Besson</author>
    <author>collectif</author>
  </authors>
  <commentList>
    <comment ref="B11" authorId="0" shapeId="0" xr:uid="{00000000-0006-0000-0100-000001000000}">
      <text>
        <r>
          <rPr>
            <sz val="8"/>
            <color indexed="8"/>
            <rFont val="Tahoma"/>
            <family val="2"/>
          </rPr>
          <t xml:space="preserve">Masse au décollage, à changer dans la feuille Stabilito,
ou à l'aide des boutons (revérifiez alors la stabilité).
</t>
        </r>
        <r>
          <rPr>
            <i/>
            <sz val="8"/>
            <color indexed="8"/>
            <rFont val="Tahoma"/>
            <family val="2"/>
          </rPr>
          <t>Lift-Off mass, to be changed in Stabilito sheet,
or with the buttons (then recheck stability).</t>
        </r>
      </text>
    </comment>
    <comment ref="B12" authorId="0" shapeId="0" xr:uid="{00000000-0006-0000-0100-000002000000}">
      <text>
        <r>
          <rPr>
            <sz val="8"/>
            <color indexed="8"/>
            <rFont val="Tahoma"/>
            <family val="2"/>
          </rPr>
          <t xml:space="preserve">Le propulseur doit être sélectionné dans l'onglet Stabilito.
</t>
        </r>
        <r>
          <rPr>
            <i/>
            <sz val="8"/>
            <color indexed="8"/>
            <rFont val="Tahoma"/>
            <family val="2"/>
          </rPr>
          <t>Motor must be selected in Stabilito sheet.</t>
        </r>
      </text>
    </comment>
    <comment ref="B15" authorId="1" shapeId="0" xr:uid="{00000000-0006-0000-0100-000003000000}">
      <text>
        <r>
          <rPr>
            <sz val="8"/>
            <color indexed="8"/>
            <rFont val="Tahoma"/>
            <family val="2"/>
          </rPr>
          <t xml:space="preserve">La Surface de Référence utilisée pour le calcul de la Traînée est la surface projetée dans l'axe de la fusée. Ce </t>
        </r>
        <r>
          <rPr>
            <b/>
            <sz val="8"/>
            <color indexed="8"/>
            <rFont val="Tahoma"/>
            <family val="2"/>
          </rPr>
          <t>Maître Couple</t>
        </r>
        <r>
          <rPr>
            <sz val="8"/>
            <color indexed="8"/>
            <rFont val="Tahoma"/>
            <family val="2"/>
          </rPr>
          <t xml:space="preserve"> inclut donc l'épaisseur des ailerons.
</t>
        </r>
        <r>
          <rPr>
            <i/>
            <sz val="8"/>
            <color indexed="8"/>
            <rFont val="Tahoma"/>
            <family val="2"/>
          </rPr>
          <t>Reference Surface used to compute the Drag. It includes Fin thickness.</t>
        </r>
      </text>
    </comment>
    <comment ref="B16" authorId="1" shapeId="0" xr:uid="{00000000-0006-0000-0100-000004000000}">
      <text>
        <r>
          <rPr>
            <sz val="8"/>
            <color indexed="8"/>
            <rFont val="Tahoma"/>
            <family val="2"/>
          </rPr>
          <t xml:space="preserve">Coefficient de Traînée de la fusée. Par défaut, le </t>
        </r>
        <r>
          <rPr>
            <b/>
            <sz val="8"/>
            <color indexed="8"/>
            <rFont val="Tahoma"/>
            <family val="2"/>
          </rPr>
          <t>Cx</t>
        </r>
        <r>
          <rPr>
            <sz val="8"/>
            <color indexed="8"/>
            <rFont val="Tahoma"/>
            <family val="2"/>
          </rPr>
          <t xml:space="preserve"> vaut 0.6. On peut ajouter ou retrancher 0.2 en fonction des aspérités de la fusée, du profilage des ailerons…
</t>
        </r>
        <r>
          <rPr>
            <i/>
            <sz val="8"/>
            <color indexed="8"/>
            <rFont val="Tahoma"/>
            <family val="2"/>
          </rPr>
          <t>Rocket Drag Coefficient is generally between 0.4 and 0.8, with a default value of 0.6.</t>
        </r>
      </text>
    </comment>
    <comment ref="B19" authorId="1" shapeId="0" xr:uid="{00000000-0006-0000-0100-000005000000}">
      <text>
        <r>
          <rPr>
            <b/>
            <sz val="8"/>
            <color indexed="8"/>
            <rFont val="Tahoma"/>
            <family val="2"/>
          </rPr>
          <t>Longueur de la rampe de lancement.</t>
        </r>
        <r>
          <rPr>
            <sz val="8"/>
            <color indexed="8"/>
            <rFont val="Tahoma"/>
            <family val="2"/>
          </rPr>
          <t xml:space="preserve">
</t>
        </r>
        <r>
          <rPr>
            <i/>
            <sz val="8"/>
            <color indexed="8"/>
            <rFont val="Tahoma"/>
            <family val="2"/>
          </rPr>
          <t xml:space="preserve">                                          Length of the launch pad.</t>
        </r>
        <r>
          <rPr>
            <sz val="8"/>
            <color indexed="8"/>
            <rFont val="Tahoma"/>
            <family val="2"/>
          </rPr>
          <t xml:space="preserve">
Valeurs courantes :                       C</t>
        </r>
        <r>
          <rPr>
            <i/>
            <sz val="8"/>
            <color indexed="8"/>
            <rFont val="Tahoma"/>
            <family val="2"/>
          </rPr>
          <t>ommon values :</t>
        </r>
        <r>
          <rPr>
            <sz val="8"/>
            <color indexed="8"/>
            <rFont val="Tahoma"/>
            <family val="2"/>
          </rPr>
          <t xml:space="preserve">
MicroFusée               : 1m             </t>
        </r>
        <r>
          <rPr>
            <i/>
            <sz val="8"/>
            <color indexed="8"/>
            <rFont val="Tahoma"/>
            <family val="2"/>
          </rPr>
          <t>Micro-rocket</t>
        </r>
        <r>
          <rPr>
            <sz val="8"/>
            <color indexed="8"/>
            <rFont val="Tahoma"/>
            <family val="2"/>
          </rPr>
          <t xml:space="preserve">
MiniFusée                 : 2m -&gt; 3m </t>
        </r>
        <r>
          <rPr>
            <i/>
            <sz val="8"/>
            <color indexed="8"/>
            <rFont val="Tahoma"/>
            <family val="2"/>
          </rPr>
          <t xml:space="preserve">  Mini-rocket</t>
        </r>
        <r>
          <rPr>
            <sz val="8"/>
            <color indexed="8"/>
            <rFont val="Tahoma"/>
            <family val="2"/>
          </rPr>
          <t xml:space="preserve">
Fusée Expérimentale  : 4m -&gt; 7m   </t>
        </r>
        <r>
          <rPr>
            <i/>
            <sz val="8"/>
            <color indexed="8"/>
            <rFont val="Tahoma"/>
            <family val="2"/>
          </rPr>
          <t>Experimental Rocket</t>
        </r>
      </text>
    </comment>
    <comment ref="B20" authorId="1" shapeId="0" xr:uid="{00000000-0006-0000-0100-000006000000}">
      <text>
        <r>
          <rPr>
            <sz val="8"/>
            <color indexed="8"/>
            <rFont val="Tahoma"/>
            <family val="2"/>
          </rPr>
          <t xml:space="preserve">Elévation de la rampe, angle par rapport à l'horizontale, "site" de la rampe, par défaut cet angle est à 80°.
</t>
        </r>
        <r>
          <rPr>
            <i/>
            <sz val="8"/>
            <color indexed="8"/>
            <rFont val="Tahoma"/>
            <family val="2"/>
          </rPr>
          <t>Angle of the lauch pad versus horizontal.</t>
        </r>
      </text>
    </comment>
    <comment ref="B21" authorId="1" shapeId="0" xr:uid="{00000000-0006-0000-0100-000007000000}">
      <text>
        <r>
          <rPr>
            <sz val="8"/>
            <color indexed="8"/>
            <rFont val="Tahoma"/>
            <family val="2"/>
          </rPr>
          <t xml:space="preserve">L'Altitude de la rampe est utilisée pour calculer la densité de l'air.
</t>
        </r>
        <r>
          <rPr>
            <i/>
            <sz val="8"/>
            <color indexed="8"/>
            <rFont val="Tahoma"/>
            <family val="2"/>
          </rPr>
          <t>Launch Pad Altitude is used to compute the air density.</t>
        </r>
      </text>
    </comment>
    <comment ref="D24" authorId="2" shapeId="0" xr:uid="{00000000-0006-0000-0100-000008000000}">
      <text>
        <r>
          <rPr>
            <b/>
            <sz val="8"/>
            <color indexed="8"/>
            <rFont val="Tahoma"/>
            <family val="2"/>
          </rPr>
          <t>Objet largué</t>
        </r>
        <r>
          <rPr>
            <sz val="8"/>
            <color indexed="8"/>
            <rFont val="Tahoma"/>
            <family val="2"/>
          </rPr>
          <t xml:space="preserve"> (CanSat, quasi-satellite, partie contenant l'œuf...)
</t>
        </r>
        <r>
          <rPr>
            <i/>
            <sz val="8"/>
            <color indexed="8"/>
            <rFont val="Tahoma"/>
            <family val="2"/>
          </rPr>
          <t>Separated object (CanSat, quasi-satellite, payload/egg...)</t>
        </r>
      </text>
    </comment>
    <comment ref="K24" authorId="1" shapeId="0" xr:uid="{00000000-0006-0000-0100-000009000000}">
      <text>
        <r>
          <rPr>
            <sz val="8"/>
            <color indexed="8"/>
            <rFont val="Tahoma"/>
            <family val="2"/>
          </rPr>
          <t xml:space="preserve">La Vitesse en Sortie de Rampe doit être supérieure à 18m/s (MiniFusée) ou 20m/s (Fusée Exp.).
Alléger la fusée ou choisir un propu plus puissant.
</t>
        </r>
        <r>
          <rPr>
            <i/>
            <sz val="8"/>
            <color indexed="8"/>
            <rFont val="Tahoma"/>
            <family val="2"/>
          </rPr>
          <t>Speed at Launch Pad Exit must by higher than 18m/s (mini-rocket) or 20m/s (experimental rocket).
Lighten the rocket or choose a bigger motor.</t>
        </r>
      </text>
    </comment>
    <comment ref="C25" authorId="2" shapeId="0" xr:uid="{00000000-0006-0000-0100-00000A000000}">
      <text>
        <r>
          <rPr>
            <sz val="8"/>
            <color indexed="8"/>
            <rFont val="Tahoma"/>
            <family val="2"/>
          </rPr>
          <t xml:space="preserve">Masse de la fusée (sans satellite) sous parachute.
</t>
        </r>
        <r>
          <rPr>
            <i/>
            <sz val="8"/>
            <color indexed="8"/>
            <rFont val="Tahoma"/>
            <family val="2"/>
          </rPr>
          <t>Mass of the rocket (w/o sat) when it fall with a parachute.</t>
        </r>
      </text>
    </comment>
    <comment ref="M28" authorId="3" shapeId="0" xr:uid="{00000000-0006-0000-0100-00000B000000}">
      <text>
        <r>
          <rPr>
            <sz val="8"/>
            <color indexed="81"/>
            <rFont val="Tahoma"/>
            <family val="2"/>
          </rPr>
          <t xml:space="preserve">Efforts sur les fixations du parachute lors de sont ouverture.
</t>
        </r>
        <r>
          <rPr>
            <i/>
            <sz val="8"/>
            <color indexed="81"/>
            <rFont val="Tahoma"/>
            <family val="2"/>
          </rPr>
          <t>Stress on the parachute's bindings when it opened.</t>
        </r>
      </text>
    </comment>
    <comment ref="M29" authorId="3" shapeId="0" xr:uid="{00000000-0006-0000-0100-00000D000000}">
      <text>
        <r>
          <rPr>
            <sz val="8"/>
            <color indexed="81"/>
            <rFont val="Tahoma"/>
            <family val="2"/>
          </rPr>
          <t>Energie libérée lors de l'impact balistique.</t>
        </r>
        <r>
          <rPr>
            <b/>
            <sz val="8"/>
            <color indexed="81"/>
            <rFont val="Tahoma"/>
            <family val="2"/>
          </rPr>
          <t xml:space="preserve">
</t>
        </r>
        <r>
          <rPr>
            <i/>
            <sz val="8"/>
            <color indexed="81"/>
            <rFont val="Tahoma"/>
            <family val="2"/>
          </rPr>
          <t>Balistic impact energy</t>
        </r>
      </text>
    </comment>
    <comment ref="B30" authorId="1" shapeId="0" xr:uid="{00000000-0006-0000-0100-00000C000000}">
      <text>
        <r>
          <rPr>
            <sz val="8"/>
            <color indexed="8"/>
            <rFont val="Tahoma"/>
            <family val="2"/>
          </rPr>
          <t xml:space="preserve">Le Coefficient de Traînée </t>
        </r>
        <r>
          <rPr>
            <b/>
            <sz val="8"/>
            <color indexed="8"/>
            <rFont val="Tahoma"/>
            <family val="2"/>
          </rPr>
          <t>Cx</t>
        </r>
        <r>
          <rPr>
            <sz val="8"/>
            <color indexed="8"/>
            <rFont val="Tahoma"/>
            <family val="2"/>
          </rPr>
          <t xml:space="preserve"> (ou Cd) d'un parachute est généralement compris entre 0.7 et 1.4 (1 par défaut).
</t>
        </r>
        <r>
          <rPr>
            <i/>
            <sz val="8"/>
            <color indexed="8"/>
            <rFont val="Tahoma"/>
            <family val="2"/>
          </rPr>
          <t xml:space="preserve">Parachute Drag Coefficient </t>
        </r>
        <r>
          <rPr>
            <b/>
            <i/>
            <sz val="8"/>
            <color indexed="8"/>
            <rFont val="Tahoma"/>
            <family val="2"/>
          </rPr>
          <t>Cx</t>
        </r>
        <r>
          <rPr>
            <i/>
            <sz val="8"/>
            <color indexed="8"/>
            <rFont val="Tahoma"/>
            <family val="2"/>
          </rPr>
          <t xml:space="preserve"> (or Cd) should be between 0.7 and 1.4, with a default value of 1.</t>
        </r>
      </text>
    </comment>
    <comment ref="B32" authorId="4" shapeId="0" xr:uid="{00000000-0006-0000-0100-00000E000000}">
      <text>
        <r>
          <rPr>
            <sz val="8"/>
            <color indexed="81"/>
            <rFont val="Tahoma"/>
            <family val="2"/>
          </rPr>
          <t xml:space="preserve">La Vitesse de descente sous parachute doit être comprise entre 5 &amp; 15m/s.
</t>
        </r>
        <r>
          <rPr>
            <i/>
            <sz val="8"/>
            <color indexed="81"/>
            <rFont val="Tahoma"/>
            <family val="2"/>
          </rPr>
          <t>Fall Velocity with parachute must be between 5 &amp; 15 m/s.</t>
        </r>
      </text>
    </comment>
    <comment ref="B35" authorId="0" shapeId="0" xr:uid="{00000000-0006-0000-0100-00000F000000}">
      <text>
        <r>
          <rPr>
            <sz val="8"/>
            <color indexed="8"/>
            <rFont val="Tahoma"/>
            <family val="2"/>
          </rPr>
          <t xml:space="preserve">Déviation due au vent lors de la descente sous parachute.
</t>
        </r>
        <r>
          <rPr>
            <i/>
            <sz val="8"/>
            <color indexed="8"/>
            <rFont val="Tahoma"/>
            <family val="2"/>
          </rPr>
          <t>Deviation due to wind during the fall over parachute.</t>
        </r>
      </text>
    </comment>
    <comment ref="F42" authorId="1" shapeId="0" xr:uid="{00000000-0006-0000-0100-000010000000}">
      <text>
        <r>
          <rPr>
            <sz val="8"/>
            <color indexed="8"/>
            <rFont val="Tahoma"/>
            <family val="2"/>
          </rPr>
          <t xml:space="preserve">Les Conditions Initiales permettent de simuler le 2e boost des fusée bi-étage ou des fusées larguant une masse (CanSat, bi-inerte). Laisser à 0 dans les autres cas.
</t>
        </r>
        <r>
          <rPr>
            <i/>
            <sz val="8"/>
            <color indexed="8"/>
            <rFont val="Tahoma"/>
            <family val="2"/>
          </rPr>
          <t>Initial Conditions can be used to simulate the 2nd boost of 2-stages rockets, or rocket releasing mass (Quasi-Satellites). Set them to 0 otherwise.</t>
        </r>
      </text>
    </comment>
    <comment ref="I42" authorId="1" shapeId="0" xr:uid="{00000000-0006-0000-0100-000011000000}">
      <text>
        <r>
          <rPr>
            <sz val="8"/>
            <color indexed="8"/>
            <rFont val="Tahoma"/>
            <family val="2"/>
          </rPr>
          <t xml:space="preserve">Altitude par rapport à la rampe, par rapport au sol.
</t>
        </r>
        <r>
          <rPr>
            <i/>
            <sz val="8"/>
            <color indexed="8"/>
            <rFont val="Tahoma"/>
            <family val="2"/>
          </rPr>
          <t>Altitude with respect to the earth surface.</t>
        </r>
      </text>
    </comment>
    <comment ref="K42" authorId="1" shapeId="0" xr:uid="{00000000-0006-0000-0100-000012000000}">
      <text>
        <r>
          <rPr>
            <sz val="8"/>
            <color indexed="8"/>
            <rFont val="Tahoma"/>
            <family val="2"/>
          </rPr>
          <t xml:space="preserve">La vitesse initiale doit être non-nulle dans le cas d'un 2e boost (allumage hors de la rampe, Portée et Altitude non-nulles).
</t>
        </r>
        <r>
          <rPr>
            <i/>
            <sz val="8"/>
            <color indexed="8"/>
            <rFont val="Tahoma"/>
            <family val="2"/>
          </rPr>
          <t>Initial Velocity must be non-zero in case of 2nd boost (ignition without launch pad, non-zero Range and Altitude).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xml:space="preserve"> </author>
    <author>M363040</author>
    <author>Léo Côme</author>
  </authors>
  <commentList>
    <comment ref="B11" authorId="0" shapeId="0" xr:uid="{00000000-0006-0000-0500-000001000000}">
      <text>
        <r>
          <rPr>
            <sz val="8"/>
            <color indexed="8"/>
            <rFont val="Tahoma"/>
            <family val="2"/>
          </rPr>
          <t xml:space="preserve">Masse sans propu, à changer dans la feuille Stabilito,
ou à l'aide des boutons (revérifiez alors la stabilité).
</t>
        </r>
        <r>
          <rPr>
            <i/>
            <sz val="8"/>
            <color indexed="8"/>
            <rFont val="Tahoma"/>
            <family val="2"/>
          </rPr>
          <t>Rocket mass without motor, to be changed in Stabilito sheet,
or with the buttons (then recheck stability).</t>
        </r>
      </text>
    </comment>
    <comment ref="B12" authorId="0" shapeId="0" xr:uid="{00000000-0006-0000-0500-000002000000}">
      <text>
        <r>
          <rPr>
            <sz val="8"/>
            <color indexed="8"/>
            <rFont val="Tahoma"/>
            <family val="2"/>
          </rPr>
          <t>Masse totale, à changer dans la feuille Stabilito,
ou à l'aide des boutons (revérifiez alors la stabilité).
Rocket total mass, to be changed in Stabilito sheet,
or with the buttons (then recheck stability).</t>
        </r>
      </text>
    </comment>
    <comment ref="B13" authorId="0" shapeId="0" xr:uid="{00000000-0006-0000-0500-000003000000}">
      <text>
        <r>
          <rPr>
            <sz val="8"/>
            <color indexed="8"/>
            <rFont val="Tahoma"/>
            <family val="2"/>
          </rPr>
          <t xml:space="preserve">Le propulseur doit être sélectionné dans l'onglet Stabilito.
</t>
        </r>
        <r>
          <rPr>
            <i/>
            <sz val="8"/>
            <color indexed="8"/>
            <rFont val="Tahoma"/>
            <family val="2"/>
          </rPr>
          <t>Motor must be selected in Stabilito sheet.</t>
        </r>
      </text>
    </comment>
    <comment ref="B16" authorId="1" shapeId="0" xr:uid="{00000000-0006-0000-0500-000004000000}">
      <text>
        <r>
          <rPr>
            <sz val="8"/>
            <color indexed="8"/>
            <rFont val="Tahoma"/>
            <family val="2"/>
          </rPr>
          <t xml:space="preserve">Diamètre de référence. D_réf = D_ogive ou le diamètre "principal".
</t>
        </r>
        <r>
          <rPr>
            <i/>
            <sz val="8"/>
            <color indexed="8"/>
            <rFont val="Tahoma"/>
            <family val="2"/>
          </rPr>
          <t>Reference Diameter. D_ref = D_ogive or the "main" diameter.</t>
        </r>
      </text>
    </comment>
    <comment ref="B17" authorId="2" shapeId="0" xr:uid="{00000000-0006-0000-0500-000005000000}">
      <text>
        <r>
          <rPr>
            <sz val="8"/>
            <color indexed="8"/>
            <rFont val="Tahoma"/>
            <family val="2"/>
          </rPr>
          <t xml:space="preserve">Coefficient de Traînée de la fusée. Par défaut, le </t>
        </r>
        <r>
          <rPr>
            <b/>
            <sz val="8"/>
            <color indexed="8"/>
            <rFont val="Tahoma"/>
            <family val="2"/>
          </rPr>
          <t>Cx</t>
        </r>
        <r>
          <rPr>
            <sz val="8"/>
            <color indexed="8"/>
            <rFont val="Tahoma"/>
            <family val="2"/>
          </rPr>
          <t xml:space="preserve"> vaut 0.6. On peut ajouter ou retrancher 0.2 en fonction des aspérités de la fusée, du profilage des ailerons…
</t>
        </r>
        <r>
          <rPr>
            <i/>
            <sz val="8"/>
            <color indexed="8"/>
            <rFont val="Tahoma"/>
            <family val="2"/>
          </rPr>
          <t>Rocket Drag Coefficient is generally between 0.4 and 0.8, with a default value of 0.6.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xml:space="preserve"> Léo</author>
  </authors>
  <commentList>
    <comment ref="E55" authorId="0" shapeId="0" xr:uid="{00000000-0006-0000-0600-000001000000}">
      <text>
        <r>
          <rPr>
            <sz val="8"/>
            <color indexed="81"/>
            <rFont val="Tahoma"/>
            <family val="2"/>
          </rPr>
          <t xml:space="preserve">Masse volumique de l'air (ρ) à P=1013,25hPa &amp; T=15°C.
Utilisée tel quel pour la descente sous parachute,
utilisée comme référence (z=0) pour le calcul de ρ en fonction de l'altitude dans le calcul de la trajectoire pas à pas.
Idéalement, valeur à adapter aux conditions atmosphériques au moment du lancement.
</t>
        </r>
        <r>
          <rPr>
            <i/>
            <sz val="8"/>
            <color indexed="81"/>
            <rFont val="Tahoma"/>
            <family val="2"/>
          </rPr>
          <t>Air density (ρ) at P=1013,25hPa &amp; T=15°C.</t>
        </r>
      </text>
    </comment>
  </commentList>
</comments>
</file>

<file path=xl/sharedStrings.xml><?xml version="1.0" encoding="utf-8"?>
<sst xmlns="http://schemas.openxmlformats.org/spreadsheetml/2006/main" count="1732" uniqueCount="573">
  <si>
    <t>TRAJECTO</t>
  </si>
  <si>
    <t>Français</t>
  </si>
  <si>
    <t>t</t>
  </si>
  <si>
    <t>x</t>
  </si>
  <si>
    <t>Club</t>
  </si>
  <si>
    <t>Cx</t>
  </si>
  <si>
    <t>Altitude</t>
  </si>
  <si>
    <t>m/s²</t>
  </si>
  <si>
    <t>kg/m3</t>
  </si>
  <si>
    <t>Surface para</t>
  </si>
  <si>
    <t>Cx parachute</t>
  </si>
  <si>
    <t>Temps</t>
  </si>
  <si>
    <t>Altitude z</t>
  </si>
  <si>
    <t>Accélération</t>
  </si>
  <si>
    <t>-</t>
  </si>
  <si>
    <t>Culmination, Apogée</t>
  </si>
  <si>
    <t>~0</t>
  </si>
  <si>
    <t>Forces</t>
  </si>
  <si>
    <t>Accélération longitudinale</t>
  </si>
  <si>
    <t>pas</t>
  </si>
  <si>
    <t>Beta</t>
  </si>
  <si>
    <t>BetaD</t>
  </si>
  <si>
    <t>Débit</t>
  </si>
  <si>
    <t>Trainée</t>
  </si>
  <si>
    <t>Rho</t>
  </si>
  <si>
    <t>Poussée</t>
  </si>
  <si>
    <t>i_P</t>
  </si>
  <si>
    <t>Poids</t>
  </si>
  <si>
    <t>R_rampe</t>
  </si>
  <si>
    <t>z</t>
  </si>
  <si>
    <t>non-gravit.</t>
  </si>
  <si>
    <t>gravitationnelle</t>
  </si>
  <si>
    <t>Ligne</t>
  </si>
  <si>
    <t>Temps (en s)</t>
  </si>
  <si>
    <t>Poussée (en N)</t>
  </si>
  <si>
    <t>Isard</t>
  </si>
  <si>
    <t>Chamois</t>
  </si>
  <si>
    <t>espace@planete-sciences.org</t>
  </si>
  <si>
    <t>m</t>
  </si>
  <si>
    <t>http://www.planete-sciences.org/espace/basedoc/</t>
  </si>
  <si>
    <t>Surface Réf.</t>
  </si>
  <si>
    <t>Angle</t>
  </si>
  <si>
    <t>Léo Côme</t>
  </si>
  <si>
    <t>Notes :</t>
  </si>
  <si>
    <t>Aucun (2e ét. inerte)</t>
  </si>
  <si>
    <t>z para</t>
  </si>
  <si>
    <t>z sat</t>
  </si>
  <si>
    <t>xz max</t>
  </si>
  <si>
    <t>t para</t>
  </si>
  <si>
    <t>x para</t>
  </si>
  <si>
    <t>t sat</t>
  </si>
  <si>
    <t>x sat</t>
  </si>
  <si>
    <t>Moteurs Rocketry-Challenge, bug Surface_parachute, Satellite, bug Ooo</t>
  </si>
  <si>
    <t>STABILITO</t>
  </si>
  <si>
    <t>Type</t>
  </si>
  <si>
    <t>XCp</t>
  </si>
  <si>
    <t>MpropuPlein</t>
  </si>
  <si>
    <t>XpropuPlein</t>
  </si>
  <si>
    <t>MpropuVide</t>
  </si>
  <si>
    <t>XpropuVide</t>
  </si>
  <si>
    <t>Longueur</t>
  </si>
  <si>
    <t>Diamètre</t>
  </si>
  <si>
    <t>Min</t>
  </si>
  <si>
    <t>Max</t>
  </si>
  <si>
    <t>Finesse</t>
  </si>
  <si>
    <t>Cnα</t>
  </si>
  <si>
    <t>MS /L</t>
  </si>
  <si>
    <t>English</t>
  </si>
  <si>
    <t>X longi</t>
  </si>
  <si>
    <t>Y latéral</t>
  </si>
  <si>
    <t>- Y latéral</t>
  </si>
  <si>
    <t>Pointe</t>
  </si>
  <si>
    <t>Ogive</t>
  </si>
  <si>
    <t>chmt1 pt1</t>
  </si>
  <si>
    <t>chmt1 pt2</t>
  </si>
  <si>
    <t>chmt2 pt1</t>
  </si>
  <si>
    <t>chmt2 pt2</t>
  </si>
  <si>
    <t>culot</t>
  </si>
  <si>
    <t>aileron pt1</t>
  </si>
  <si>
    <t>aileron pt2</t>
  </si>
  <si>
    <t>aileron pt3</t>
  </si>
  <si>
    <t>aileron pt4</t>
  </si>
  <si>
    <t>Xcg plein</t>
  </si>
  <si>
    <t>Xcg vide</t>
  </si>
  <si>
    <t>Xcp</t>
  </si>
  <si>
    <t>canard pt1</t>
  </si>
  <si>
    <t>canard pt2</t>
  </si>
  <si>
    <t>canard pt3</t>
  </si>
  <si>
    <t>canard pt4</t>
  </si>
  <si>
    <t>masquage pt1</t>
  </si>
  <si>
    <t>masquage pt2</t>
  </si>
  <si>
    <t>masquage pt3</t>
  </si>
  <si>
    <t>masquage pt4</t>
  </si>
  <si>
    <t>cadre</t>
  </si>
  <si>
    <t>propu pt1</t>
  </si>
  <si>
    <t>propu pt2</t>
  </si>
  <si>
    <t>propu pt3</t>
  </si>
  <si>
    <t>propu pt4</t>
  </si>
  <si>
    <t>propu pt5</t>
  </si>
  <si>
    <t>MS (X)</t>
  </si>
  <si>
    <t>Cna (Y)</t>
  </si>
  <si>
    <t>2002-2007</t>
  </si>
  <si>
    <t>Stabilito V1.x</t>
  </si>
  <si>
    <t>Stabilito V2.0</t>
  </si>
  <si>
    <t>Stabilito V2.1</t>
  </si>
  <si>
    <t>Stabilito V2.2</t>
  </si>
  <si>
    <t>Trajecto V1.x</t>
  </si>
  <si>
    <t>Trajecto V2.x</t>
  </si>
  <si>
    <t>Trajecto V2.4</t>
  </si>
  <si>
    <t>Trajecto V2.5</t>
  </si>
  <si>
    <t>OpenOffice Calc</t>
  </si>
  <si>
    <t>µ-propu A8-3</t>
  </si>
  <si>
    <t>µ-propu B4-4</t>
  </si>
  <si>
    <t>µ-propu C6-3</t>
  </si>
  <si>
    <t>ISP</t>
  </si>
  <si>
    <t>I_total</t>
  </si>
  <si>
    <t>I_total_i (en N.s)</t>
  </si>
  <si>
    <t>Micro</t>
  </si>
  <si>
    <t>Fusex</t>
  </si>
  <si>
    <t>Mini</t>
  </si>
  <si>
    <t>0 satellite</t>
  </si>
  <si>
    <t>1 satellite</t>
  </si>
  <si>
    <t>http://creativecommons.org/licenses/by-sa/3.0/</t>
  </si>
  <si>
    <t>VL4</t>
  </si>
  <si>
    <t>Vsortie de rampe (&gt; 18 m/s)</t>
  </si>
  <si>
    <t>10 &lt; finesse &lt; 20</t>
  </si>
  <si>
    <t>15 &lt; Cn &lt; 30</t>
  </si>
  <si>
    <t>30 &lt; Ms x Cn &lt; 100</t>
  </si>
  <si>
    <t>RC1</t>
  </si>
  <si>
    <t>5 &lt; Vc &lt; 15 m/s</t>
  </si>
  <si>
    <t>RC2</t>
  </si>
  <si>
    <t>Temps de retard ralentisseur</t>
  </si>
  <si>
    <t>RC5</t>
  </si>
  <si>
    <t>Portée balistique (m)</t>
  </si>
  <si>
    <t>Temps de vol avec parachute (s)</t>
  </si>
  <si>
    <t>Culmination</t>
  </si>
  <si>
    <t>Accélération max (m/s²)</t>
  </si>
  <si>
    <t>Vmax (m/s)</t>
  </si>
  <si>
    <t>Altitude (m)</t>
  </si>
  <si>
    <t>Temps (s)</t>
  </si>
  <si>
    <t>Vitesse (m/s)</t>
  </si>
  <si>
    <t>Inclinaison</t>
  </si>
  <si>
    <t>Longueur totale</t>
  </si>
  <si>
    <t>Longueur rampe</t>
  </si>
  <si>
    <t>Epaisseur ailerons</t>
  </si>
  <si>
    <t>Nombre ailerons</t>
  </si>
  <si>
    <t>Type d'ogive</t>
  </si>
  <si>
    <t>Longueur ogive "l"</t>
  </si>
  <si>
    <t>Haut du propu "Prop"</t>
  </si>
  <si>
    <t>Diamètre "D"</t>
  </si>
  <si>
    <t>Position ailerons "L"</t>
  </si>
  <si>
    <t>M</t>
  </si>
  <si>
    <t>Microsoft Excel 2003 ou +</t>
  </si>
  <si>
    <t>s</t>
  </si>
  <si>
    <t>m/s</t>
  </si>
  <si>
    <t>°</t>
  </si>
  <si>
    <t>Transition A</t>
  </si>
  <si>
    <t>Transition B</t>
  </si>
  <si>
    <t>Jaune</t>
  </si>
  <si>
    <t>Ma fusée</t>
  </si>
  <si>
    <t>conique</t>
  </si>
  <si>
    <t>ogive</t>
  </si>
  <si>
    <t>parabole</t>
  </si>
  <si>
    <t>Mon club</t>
  </si>
  <si>
    <t>env pt4</t>
  </si>
  <si>
    <t>flèche pt2</t>
  </si>
  <si>
    <t>saumon pt3</t>
  </si>
  <si>
    <t>flèche milieu</t>
  </si>
  <si>
    <t>env milieu</t>
  </si>
  <si>
    <t>saumon milieu</t>
  </si>
  <si>
    <t>empl milieu</t>
  </si>
  <si>
    <t>empl pt4</t>
  </si>
  <si>
    <t>MS milieu</t>
  </si>
  <si>
    <t>MS Xcp</t>
  </si>
  <si>
    <t>1s</t>
  </si>
  <si>
    <t>t/T</t>
  </si>
  <si>
    <t>z/Z</t>
  </si>
  <si>
    <t>vertical</t>
  </si>
  <si>
    <t>horizontal</t>
  </si>
  <si>
    <t>flèches</t>
  </si>
  <si>
    <t>StabTraj</t>
  </si>
  <si>
    <t>StabTraj V3.0</t>
  </si>
  <si>
    <t>Trajecto</t>
  </si>
  <si>
    <t>µ-propu</t>
  </si>
  <si>
    <t>Minif</t>
  </si>
  <si>
    <t xml:space="preserve"> </t>
  </si>
  <si>
    <t>Événements</t>
  </si>
  <si>
    <t>Sous-échantillon 1Hz</t>
  </si>
  <si>
    <t>pos_x</t>
  </si>
  <si>
    <t>pos_z</t>
  </si>
  <si>
    <t>pos_xz</t>
  </si>
  <si>
    <t>vit_x</t>
  </si>
  <si>
    <t>vit_z</t>
  </si>
  <si>
    <t>vit_xz</t>
  </si>
  <si>
    <t>acc_x</t>
  </si>
  <si>
    <t>acc_z</t>
  </si>
  <si>
    <t>acc_xz</t>
  </si>
  <si>
    <t>Donneés au format des fiches de contrôles Fusex :</t>
  </si>
  <si>
    <t>Diamètre max</t>
  </si>
  <si>
    <t>Envergure totale</t>
  </si>
  <si>
    <t>sans</t>
  </si>
  <si>
    <t>vide</t>
  </si>
  <si>
    <t>plein</t>
  </si>
  <si>
    <t>Masse</t>
  </si>
  <si>
    <t>STAB 1</t>
  </si>
  <si>
    <t>STAB 2</t>
  </si>
  <si>
    <t>STAB 3</t>
  </si>
  <si>
    <t>STAB 4</t>
  </si>
  <si>
    <t>STAB 5</t>
  </si>
  <si>
    <t>Vsortie de rampe (&gt; 20 m/s)</t>
  </si>
  <si>
    <t>10 &lt; finesse &lt; 35</t>
  </si>
  <si>
    <t>15 &lt; Portance &lt; 40</t>
  </si>
  <si>
    <t>2*D &lt; Ms &lt; 6*D</t>
  </si>
  <si>
    <t>40 &lt; Ms x Cn &lt; 100</t>
  </si>
  <si>
    <t>Maître couple (m²)</t>
  </si>
  <si>
    <t>Site</t>
  </si>
  <si>
    <t>Temps balistique (s)</t>
  </si>
  <si>
    <t>Temps culmi (s)</t>
  </si>
  <si>
    <t>Altitude culmi (m)</t>
  </si>
  <si>
    <t>Vitesse culmi (m/s)</t>
  </si>
  <si>
    <t>CdG</t>
  </si>
  <si>
    <t>Diamètre max (40à200)</t>
  </si>
  <si>
    <t>Envergure totale &lt;720</t>
  </si>
  <si>
    <t>Masse &lt;15</t>
  </si>
  <si>
    <t>Pensez à modifier l'inclinaison pour avoir les 2 valeurs.</t>
  </si>
  <si>
    <t>Resist long aileron</t>
  </si>
  <si>
    <t>Resist transv aileron</t>
  </si>
  <si>
    <t>Compression 2.Acc.M</t>
  </si>
  <si>
    <t>N</t>
  </si>
  <si>
    <t>kg</t>
  </si>
  <si>
    <t>Surface aileron (m²)</t>
  </si>
  <si>
    <t>Masse aileron (kg)</t>
  </si>
  <si>
    <t>T dépotage +/-2s /appogée</t>
  </si>
  <si>
    <t>REC 2</t>
  </si>
  <si>
    <t>SEQ 5</t>
  </si>
  <si>
    <t>CR 1</t>
  </si>
  <si>
    <t>CR 2</t>
  </si>
  <si>
    <t>MEC 3</t>
  </si>
  <si>
    <t>Vitesse à l'ouverture m/s</t>
  </si>
  <si>
    <t>Surface parachute m²</t>
  </si>
  <si>
    <t xml:space="preserve">Choc à l'ouverture   N </t>
  </si>
  <si>
    <t>Choc à l'ouverture   kg</t>
  </si>
  <si>
    <t>Compression porte</t>
  </si>
  <si>
    <t>Masse au-dessus porte</t>
  </si>
  <si>
    <t>REC 8</t>
  </si>
  <si>
    <t>rad</t>
  </si>
  <si>
    <t>kg/s</t>
  </si>
  <si>
    <t>Méthodes d'intégration maison</t>
  </si>
  <si>
    <t>Wikipedia</t>
  </si>
  <si>
    <t>Pour se limiter à 1000 lignes, pas variable (les transitions sont-elles rigoureuses ?).</t>
  </si>
  <si>
    <t>Le Vol de la Fusée</t>
  </si>
  <si>
    <t>Beeman (2nd order, explicit variant)</t>
  </si>
  <si>
    <t>Newmark-beta (with γ=1/2 &amp; β=1/4) (2nd order)</t>
  </si>
  <si>
    <t>Spécificités de notre problème (2nd order mechanical ODE) :</t>
  </si>
  <si>
    <t>Verlet (2-stage 2nd order, symplectic, explicit)</t>
  </si>
  <si>
    <t>Trajec 2.x utililse un mélange douteux de différentes méthodes :</t>
  </si>
  <si>
    <t>Méthodes d'intégration explicites officielles</t>
  </si>
  <si>
    <t>On peut anticiper la Poussée (force qui varie le +) et la masse.</t>
  </si>
  <si>
    <t>L'Acc dépend de la vitesse (et peu de la position).</t>
  </si>
  <si>
    <t>Semi-implicit Euler (1st order, symplectic) [§ "Euler modifié" dans Le Vol de La Fusée]</t>
  </si>
  <si>
    <t>Explicit Euler (1st order, non-symplectic) [RK1]</t>
  </si>
  <si>
    <t>Velocity Verlet, Leapfrog variant (2nd order, symplectic, explicit)</t>
  </si>
  <si>
    <t>Midpoint, Modified Euler (2nd order, explicit) [§ "RK2" dans Le Vol de La Fusée]</t>
  </si>
  <si>
    <t>Heun, Improved Euler (2-stage 2nd-order, explicit, predictor-corrector) [Trapezoidal] [RK2]</t>
  </si>
  <si>
    <t>Les méthodes symplectic (conserve l'énergie) gardent-elles leur avantage quand la masse varie (ph propu) ?</t>
  </si>
  <si>
    <t>Sous Excel, on a les pas précédent (linear multistep possible), mais ordre élevé ou implicite sont à exclure.</t>
  </si>
  <si>
    <t>Multi{sub}step (RK), linear multi{previous}step (ADAMS), predictor-corrector, implicit …</t>
  </si>
  <si>
    <t>Dynamique de la fusée (repère sol)</t>
  </si>
  <si>
    <t>Brun/Orange…</t>
  </si>
  <si>
    <t>Rouge…</t>
  </si>
  <si>
    <t>Trajecto/StabTraj corrige l'erreur de Trajec sur Xn+1 en utilisant la vitesse moyenne :</t>
  </si>
  <si>
    <t>Idéalement, il serait préférable de tout calculer à n+0.5 (m, V, β, ρ).</t>
  </si>
  <si>
    <t>Checksum :</t>
  </si>
  <si>
    <t>M_éjecté</t>
  </si>
  <si>
    <t>M_burnout</t>
  </si>
  <si>
    <t>m_poudre</t>
  </si>
  <si>
    <t>Wapiti</t>
  </si>
  <si>
    <t>Cariacou</t>
  </si>
  <si>
    <t>H2O</t>
  </si>
  <si>
    <t>H2O 2.0L 400g 6bar</t>
  </si>
  <si>
    <t>H2O 2.0L 600g 6bar</t>
  </si>
  <si>
    <t>H2O 2.0L 800g 6bar</t>
  </si>
  <si>
    <t>H2O 2.0L 1000g 6bar</t>
  </si>
  <si>
    <t>ABACO</t>
  </si>
  <si>
    <t>Masse totale</t>
  </si>
  <si>
    <t>Traînée prop</t>
  </si>
  <si>
    <t>Traînée bal</t>
  </si>
  <si>
    <t>1/2.ρ.S.Cx</t>
  </si>
  <si>
    <t>M ph prop</t>
  </si>
  <si>
    <t>M ph bal</t>
  </si>
  <si>
    <t>alt_prop</t>
  </si>
  <si>
    <t>V_prop</t>
  </si>
  <si>
    <t>t_culmi</t>
  </si>
  <si>
    <t>D_var</t>
  </si>
  <si>
    <t>Q_var</t>
  </si>
  <si>
    <t>m_var</t>
  </si>
  <si>
    <t>m_prop</t>
  </si>
  <si>
    <t>m_bal</t>
  </si>
  <si>
    <t>a_prop</t>
  </si>
  <si>
    <t>b_prop</t>
  </si>
  <si>
    <t>b_bal</t>
  </si>
  <si>
    <t>Alt prop</t>
  </si>
  <si>
    <t>V max</t>
  </si>
  <si>
    <t>LibreOffice Calc 3.4 ou +</t>
  </si>
  <si>
    <t>alt_culmi</t>
  </si>
  <si>
    <t>x_triomphe</t>
  </si>
  <si>
    <t>z_triomphe</t>
  </si>
  <si>
    <t>Arc de triomphe</t>
  </si>
  <si>
    <t>z_Eiffel</t>
  </si>
  <si>
    <t>x_Eiffel</t>
  </si>
  <si>
    <t>Tour Eiffel</t>
  </si>
  <si>
    <t>H2O 1.5L 300g 6bar</t>
  </si>
  <si>
    <t>H2O 1.5L 450g 6bar</t>
  </si>
  <si>
    <t>H2O 1.5L 600g 6bar</t>
  </si>
  <si>
    <t>H2O 1.5L 750g 6bar</t>
  </si>
  <si>
    <t>FUSEX</t>
  </si>
  <si>
    <t>MINIF PRO29-1G</t>
  </si>
  <si>
    <t>MINIF PRO24-3G</t>
  </si>
  <si>
    <t>MINIF PRO29-2G</t>
  </si>
  <si>
    <t>MINIF PRO24-1G</t>
  </si>
  <si>
    <t>Pro98-3G WT</t>
  </si>
  <si>
    <t>p24-1G 24E22</t>
  </si>
  <si>
    <t>p24-1G 26E31</t>
  </si>
  <si>
    <t>p24-3G 60F50</t>
  </si>
  <si>
    <t>p24-3G 68F79</t>
  </si>
  <si>
    <t>p24-3G 68F240</t>
  </si>
  <si>
    <t>p24-3G 73F30</t>
  </si>
  <si>
    <t>p24-3G 74F85</t>
  </si>
  <si>
    <t>p24-3G 75F51</t>
  </si>
  <si>
    <t>StabTraj V3.1</t>
  </si>
  <si>
    <t>StabTraj V3.2</t>
  </si>
  <si>
    <t>µ-propu C6-3 x2</t>
  </si>
  <si>
    <t>µ-propu C6-3 x3</t>
  </si>
  <si>
    <t>Propu : +RC &amp; +Tintin 2013 : 3 p24-1G, p24-3G 75F51 &amp; 60F50, Pro98-2G &amp; 3G WT</t>
  </si>
  <si>
    <t>Propu : +multi-µ-fu, -Wapiti, warning Cariacou, "Rufina"</t>
  </si>
  <si>
    <t>Donneés au format des fiches de lancement Fusex :</t>
  </si>
  <si>
    <t>Projet</t>
  </si>
  <si>
    <t>Chef de projet</t>
  </si>
  <si>
    <t>Date</t>
  </si>
  <si>
    <t>Moteur</t>
  </si>
  <si>
    <t>Virole</t>
  </si>
  <si>
    <t>MECANIQUE</t>
  </si>
  <si>
    <t xml:space="preserve">l = </t>
  </si>
  <si>
    <t xml:space="preserve">D = </t>
  </si>
  <si>
    <t>Dj =</t>
  </si>
  <si>
    <t xml:space="preserve">Dr = </t>
  </si>
  <si>
    <t xml:space="preserve">m = </t>
  </si>
  <si>
    <t>Epaisseur :</t>
  </si>
  <si>
    <t>Nb Aileron</t>
  </si>
  <si>
    <t>Type ogive</t>
  </si>
  <si>
    <t>ogivale</t>
  </si>
  <si>
    <t>parabolique</t>
  </si>
  <si>
    <t>X_plaque de poussée</t>
  </si>
  <si>
    <t>Masse fusée</t>
  </si>
  <si>
    <t>X_CdG</t>
  </si>
  <si>
    <t>Propu plein</t>
  </si>
  <si>
    <t>Sans propu</t>
  </si>
  <si>
    <t>Masse avec propu vide</t>
  </si>
  <si>
    <t>Simulation de vol</t>
  </si>
  <si>
    <t>Tenue mécanique</t>
  </si>
  <si>
    <t>masse d'un aileron</t>
  </si>
  <si>
    <t>superficie d'un aileron</t>
  </si>
  <si>
    <t>fleche acceptable(mm)</t>
  </si>
  <si>
    <t>compression</t>
  </si>
  <si>
    <t>Resistance longitudinale d'un aileron</t>
  </si>
  <si>
    <t>Resistance transversale d'un aileron</t>
  </si>
  <si>
    <t>Récupération</t>
  </si>
  <si>
    <t>Ralentisseur</t>
  </si>
  <si>
    <t>nombre de suspentes</t>
  </si>
  <si>
    <t>surface parachute</t>
  </si>
  <si>
    <t>force à tester totale</t>
  </si>
  <si>
    <t>force sur suspente</t>
  </si>
  <si>
    <t>Séparation latérale</t>
  </si>
  <si>
    <t>masse au dessus case para</t>
  </si>
  <si>
    <t>Force de compression</t>
  </si>
  <si>
    <t>MINIF PRO24-6G</t>
  </si>
  <si>
    <t>MINIF PRO38-1G</t>
  </si>
  <si>
    <t>p29-2G 84G88</t>
  </si>
  <si>
    <t>p29-2G 93G80</t>
  </si>
  <si>
    <t>p29-2G 110G250</t>
  </si>
  <si>
    <t>p29-2G 116G126</t>
  </si>
  <si>
    <t>p38-1G 137G58</t>
  </si>
  <si>
    <t>p38-1G 128G185</t>
  </si>
  <si>
    <t>p29-1G 41F36</t>
  </si>
  <si>
    <t>p29-1G 51F36</t>
  </si>
  <si>
    <t>p29-1G 55F29</t>
  </si>
  <si>
    <t>p29-1G 56F120</t>
  </si>
  <si>
    <t>p29-1G 57F59</t>
  </si>
  <si>
    <t>MINIF PRO29-3G</t>
  </si>
  <si>
    <t>p29-3G 125G131</t>
  </si>
  <si>
    <t>p38-1G 141G78</t>
  </si>
  <si>
    <t>MINIF PRO24-2G</t>
  </si>
  <si>
    <t>p24-2G 50E51</t>
  </si>
  <si>
    <t>p24-1G 53E70</t>
  </si>
  <si>
    <t>p29-3G 159G125</t>
  </si>
  <si>
    <t>Dépotage</t>
  </si>
  <si>
    <t>Combustion</t>
  </si>
  <si>
    <t>Sylvain Besson</t>
  </si>
  <si>
    <t>Minif Test</t>
  </si>
  <si>
    <t>Rocketry Challenge</t>
  </si>
  <si>
    <t>,Minif Tests</t>
  </si>
  <si>
    <t>MiniR</t>
  </si>
  <si>
    <t>MiniRN</t>
  </si>
  <si>
    <t>MiniN</t>
  </si>
  <si>
    <t>H20</t>
  </si>
  <si>
    <t>micro</t>
  </si>
  <si>
    <t>minif N</t>
  </si>
  <si>
    <t>Verification moteur</t>
  </si>
  <si>
    <t>Minif RC</t>
  </si>
  <si>
    <t>N/A</t>
  </si>
  <si>
    <t>T_para =</t>
  </si>
  <si>
    <t>-9</t>
  </si>
  <si>
    <t>-7</t>
  </si>
  <si>
    <t>-5</t>
  </si>
  <si>
    <t>-3</t>
  </si>
  <si>
    <t>-0</t>
  </si>
  <si>
    <t>Délais dépotage</t>
  </si>
  <si>
    <t>Propu : +ProX, Stabilito : séparation minif/RC, Trajecto : dépotage +rampe RC 3m</t>
  </si>
  <si>
    <t>StabTraj V3.3a</t>
  </si>
  <si>
    <t>p24-1G 25E75 (Rufina)</t>
  </si>
  <si>
    <t>Modification des alertes, +Effort subit par les parachutes</t>
  </si>
  <si>
    <t>Pour prendre en compte plsu de moteurs, il faut changer les variables "menu_type" et "liste"propu" dans le gestionnaire de noms.</t>
  </si>
  <si>
    <t>StabTraj V3.3e</t>
  </si>
  <si>
    <t>Efforts</t>
  </si>
  <si>
    <t>Xcp0</t>
  </si>
  <si>
    <t>sans propu</t>
  </si>
  <si>
    <t>Mono-empennage</t>
  </si>
  <si>
    <t>Bi-empennage</t>
  </si>
  <si>
    <t>Portée balistique &lt; 200 m</t>
  </si>
  <si>
    <t>Indication dépotage lanceur</t>
  </si>
  <si>
    <t>~0 m</t>
  </si>
  <si>
    <t>Données au format des fiches de contrôles minif :</t>
  </si>
  <si>
    <t xml:space="preserve">n = </t>
  </si>
  <si>
    <t xml:space="preserve">E = </t>
  </si>
  <si>
    <t xml:space="preserve">p = </t>
  </si>
  <si>
    <t>1,5.D &lt; Ms &lt; 6.D</t>
  </si>
  <si>
    <t xml:space="preserve">ailrons haut </t>
  </si>
  <si>
    <t>nombre</t>
  </si>
  <si>
    <t xml:space="preserve">ep = </t>
  </si>
  <si>
    <t>Fusée</t>
  </si>
  <si>
    <t>D</t>
  </si>
  <si>
    <t>L ogive</t>
  </si>
  <si>
    <t>L tot</t>
  </si>
  <si>
    <t>X prop</t>
  </si>
  <si>
    <t>Ailerons</t>
  </si>
  <si>
    <t>n</t>
  </si>
  <si>
    <t>p</t>
  </si>
  <si>
    <t>E</t>
  </si>
  <si>
    <t>X ail</t>
  </si>
  <si>
    <t>Bi empennage</t>
  </si>
  <si>
    <t>L</t>
  </si>
  <si>
    <t>D 1</t>
  </si>
  <si>
    <t>D 2</t>
  </si>
  <si>
    <t>X</t>
  </si>
  <si>
    <t>X cg (sans)</t>
  </si>
  <si>
    <t>(mm)</t>
  </si>
  <si>
    <t>Masse sans propu (kg)</t>
  </si>
  <si>
    <t>Couleur de la fusée</t>
  </si>
  <si>
    <t>Type d'éjection du para.</t>
  </si>
  <si>
    <t>Couleur du ralentisseur</t>
  </si>
  <si>
    <t>Surface ralentisseur (m²)</t>
  </si>
  <si>
    <t>Masse sans prop. (kg)</t>
  </si>
  <si>
    <t>Diamètre max (mm)</t>
  </si>
  <si>
    <t>Longeur de la rampe (m)</t>
  </si>
  <si>
    <t>Propulseur</t>
  </si>
  <si>
    <t>module rocket(){</t>
  </si>
  <si>
    <t>}</t>
  </si>
  <si>
    <t>//--------------------------------coiffe</t>
  </si>
  <si>
    <t>if (coiffe_type   == "conique"){</t>
  </si>
  <si>
    <t>//--------------------------------corps</t>
  </si>
  <si>
    <t>if (plusieur_diametres == false){</t>
  </si>
  <si>
    <t>} else {</t>
  </si>
  <si>
    <t>//--------------------------------ailerons</t>
  </si>
  <si>
    <t>aileron(coiffe_diametre, aileron_m_emplature,</t>
  </si>
  <si>
    <t xml:space="preserve"> aileron_position_bas);</t>
  </si>
  <si>
    <t>if (bi_empennage == true){</t>
  </si>
  <si>
    <t xml:space="preserve"> aileron_sup_nombre,</t>
  </si>
  <si>
    <t>rocket();</t>
  </si>
  <si>
    <t xml:space="preserve">	module aileron(diam, m, n, p, e, ep, nb, pos, masque = true){</t>
  </si>
  <si>
    <t xml:space="preserve"> 		depha =   masque ? 0 : 45 ;</t>
  </si>
  <si>
    <t xml:space="preserve">		for (angle = [0 : 360/nb : 360] ){</t>
  </si>
  <si>
    <t xml:space="preserve">			translate ([-diam*sin(angle+depha), diam*cos(angle+depha), pos-m]) {</t>
  </si>
  <si>
    <t xml:space="preserve">				rotate( [0, 0, angle+depha] ){</t>
  </si>
  <si>
    <t xml:space="preserve">	</t>
  </si>
  <si>
    <t xml:space="preserve">					polyhedron</t>
  </si>
  <si>
    <t xml:space="preserve">						(points = [</t>
  </si>
  <si>
    <t xml:space="preserve">							[+ep, 0, 0], [+ep, 0, m], [+ep, e, p+n],  [+ep, e, p],</t>
  </si>
  <si>
    <t xml:space="preserve">							[-ep, 0, 0], [-ep, 0, m], [-ep, e, p+n],  [-ep, e, p]</t>
  </si>
  <si>
    <t xml:space="preserve">							],</t>
  </si>
  <si>
    <t xml:space="preserve">						triangles = [</t>
  </si>
  <si>
    <t xml:space="preserve">							[0, 2, 1], [0, 2, 3], //carre +</t>
  </si>
  <si>
    <t xml:space="preserve">							[4, 6, 5], [4, 6, 7], //carre -</t>
  </si>
  <si>
    <t xml:space="preserve">							[0, 5, 1], [0, 5, 4],</t>
  </si>
  <si>
    <t xml:space="preserve">							[1, 6, 2], [1, 6, 5],</t>
  </si>
  <si>
    <t xml:space="preserve">							[2, 7, 3], [2, 7, 6],</t>
  </si>
  <si>
    <t xml:space="preserve">							[0, 7, 3], [0, 7, 4]</t>
  </si>
  <si>
    <t xml:space="preserve">							]</t>
  </si>
  <si>
    <t xml:space="preserve">						);</t>
  </si>
  <si>
    <t xml:space="preserve">				}</t>
  </si>
  <si>
    <t xml:space="preserve">			}</t>
  </si>
  <si>
    <t xml:space="preserve">		}</t>
  </si>
  <si>
    <t xml:space="preserve">	}	</t>
  </si>
  <si>
    <t xml:space="preserve">	module coiffe(diam, hauteur, resolution = 20.0){</t>
  </si>
  <si>
    <t xml:space="preserve">		pas = hauteur/resolution;</t>
  </si>
  <si>
    <t xml:space="preserve">		for (x = [0: pas : hauteur] ){</t>
  </si>
  <si>
    <t xml:space="preserve">			translate( [0, 0, x+pas] ){</t>
  </si>
  <si>
    <t xml:space="preserve">				cylinder(pas, pow(x, 1.0/2.0), pow(x+pas, 1.0/2.0), false);</t>
  </si>
  <si>
    <t xml:space="preserve">	}</t>
  </si>
  <si>
    <t xml:space="preserve">	cylinder(coiffe_hauteur, 0, coiffe_diametre, false);</t>
  </si>
  <si>
    <t xml:space="preserve">	translate ([0, 0, coiffe_hauteur]) {</t>
  </si>
  <si>
    <t xml:space="preserve">		cylinder(longeur_total-coiffe_hauteur, coiffe_diametre, coiffe_diametre, false);</t>
  </si>
  <si>
    <t xml:space="preserve">	//Premier cylindre</t>
  </si>
  <si>
    <t xml:space="preserve">		cylinder(diam_A_X_implantation-coiffe_hauteur, coiffe_diametre, coiffe_diametre, false);</t>
  </si>
  <si>
    <t xml:space="preserve">	//Premier chanvrin</t>
  </si>
  <si>
    <t xml:space="preserve">	translate ([0, 0, diam_A_X_implantation]) {</t>
  </si>
  <si>
    <t xml:space="preserve">		cylinder(diam_A_L_longeur, diam_A_D1_diametre, diam_A_D2_diametre, false);</t>
  </si>
  <si>
    <t xml:space="preserve">		</t>
  </si>
  <si>
    <t xml:space="preserve">	//Second cylindre</t>
  </si>
  <si>
    <t xml:space="preserve">	translate ([0, 0, diam_A_X_implantation+diam_A_L_longeur]) {</t>
  </si>
  <si>
    <t xml:space="preserve">		cylinder(diam_B_X_implantation-(diam_A_X_implantation+diam_A_L_longeur), diam_A_D2_diametre, diam_B_D1_diametre, false);</t>
  </si>
  <si>
    <t xml:space="preserve">	//Second chanvrin</t>
  </si>
  <si>
    <t xml:space="preserve">	translate ([0, 0, diam_B_X_implantation]) {</t>
  </si>
  <si>
    <t xml:space="preserve">		cylinder(diam_B_L_longeur, diam_B_D1_diametre, diam_B_D2_diametre, false);</t>
  </si>
  <si>
    <t xml:space="preserve">	//Troisieme cylindre</t>
  </si>
  <si>
    <t xml:space="preserve">	translate ([0, 0, diam_B_X_implantation + diam_B_L_longeur]) {</t>
  </si>
  <si>
    <t xml:space="preserve">		cylinder(longeur_total-(diam_B_X_implantation + diam_B_L_longeur), diam_B_D2_diametre, diam_B_D2_diametre, false);</t>
  </si>
  <si>
    <t xml:space="preserve">	 aileron_n_saumon, </t>
  </si>
  <si>
    <t xml:space="preserve">	 aileron_p_fleche,</t>
  </si>
  <si>
    <t xml:space="preserve">	 aileron_e_envergure,</t>
  </si>
  <si>
    <t xml:space="preserve">	 aileron_epaisseur,</t>
  </si>
  <si>
    <t xml:space="preserve">	 aileron_nombre,</t>
  </si>
  <si>
    <t xml:space="preserve">	aileron(coiffe_diametre, aileron_sup_m_emplature,</t>
  </si>
  <si>
    <t xml:space="preserve">	 aileron_sup_n_saumon,</t>
  </si>
  <si>
    <t xml:space="preserve">	 aileron_sup_p_fleche,</t>
  </si>
  <si>
    <t xml:space="preserve">	 aileron_sup_e_envergure,</t>
  </si>
  <si>
    <t xml:space="preserve">	 aileron_sup_epaisseur,</t>
  </si>
  <si>
    <t xml:space="preserve">	 aileron_sup_position_bas,</t>
  </si>
  <si>
    <t xml:space="preserve">	 aileron_sup_masque);</t>
  </si>
  <si>
    <t>p24-6G 140G145 PK</t>
  </si>
  <si>
    <t>p24-6G 139G107 DT</t>
  </si>
  <si>
    <t>p24-6G 142G117 WT</t>
  </si>
  <si>
    <t>Klima D9-7 x2</t>
  </si>
  <si>
    <t>Klima D9-7 x3</t>
  </si>
  <si>
    <t>Klima D9-7</t>
  </si>
  <si>
    <t>Minifusée</t>
  </si>
  <si>
    <t>StabTraj V3.4.1</t>
  </si>
  <si>
    <t>Propu : +Klima D9</t>
  </si>
  <si>
    <t>p29-1G 56F31</t>
  </si>
  <si>
    <t xml:space="preserve"> 143G150 BS</t>
  </si>
  <si>
    <t>StabTraj V3.4.2</t>
  </si>
  <si>
    <t>Ogivale (pointue)</t>
  </si>
  <si>
    <t>Ajout propu</t>
  </si>
  <si>
    <t>Fusée mono-diamètre,</t>
  </si>
  <si>
    <t>Pandora (Pro24-6G BS)</t>
  </si>
  <si>
    <t>Barasinga (Pro54-5G C)</t>
  </si>
  <si>
    <t>Orignal (Pro75-3G C)</t>
  </si>
  <si>
    <t>Blastocerus (Pro98-6GXL RL)</t>
  </si>
  <si>
    <t>Pro54-5G WT</t>
  </si>
  <si>
    <t>Flavien DENIS</t>
  </si>
  <si>
    <t>Ajout Pro54-5G WT et Pro98-6G Green</t>
  </si>
  <si>
    <t>StabTraj V3.4.3</t>
  </si>
  <si>
    <t>Pro98-6G Green</t>
  </si>
  <si>
    <t>StabTraj V3.4.4</t>
  </si>
  <si>
    <t>Type de para</t>
  </si>
  <si>
    <t>Rond</t>
  </si>
  <si>
    <t>Croix</t>
  </si>
  <si>
    <t>Autre</t>
  </si>
  <si>
    <t>Unification Type Minif et RC + liste déroulante pour le type de parachute.</t>
  </si>
  <si>
    <t>Matricule</t>
  </si>
  <si>
    <t>Matriucle</t>
  </si>
  <si>
    <t>Corrections mineurs</t>
  </si>
  <si>
    <t>StabTraj V3.4.5</t>
  </si>
  <si>
    <t>v3.4.5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</si>
</sst>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164" formatCode="General&quot; kg&quot;"/>
    <numFmt numFmtId="165" formatCode="0.0"/>
    <numFmt numFmtId="166" formatCode="0.000000&quot; m²&quot;"/>
    <numFmt numFmtId="167" formatCode="General&quot; m&quot;"/>
    <numFmt numFmtId="168" formatCode="General&quot; °&quot;"/>
    <numFmt numFmtId="169" formatCode="0.000"/>
    <numFmt numFmtId="170" formatCode="General&quot; s&quot;"/>
    <numFmt numFmtId="171" formatCode="General&quot; m²&quot;"/>
    <numFmt numFmtId="172" formatCode="0&quot; m/s&quot;"/>
    <numFmt numFmtId="173" formatCode="0&quot; s&quot;"/>
    <numFmt numFmtId="174" formatCode="General&quot; m/s&quot;"/>
    <numFmt numFmtId="175" formatCode="0&quot; m&quot;"/>
    <numFmt numFmtId="176" formatCode="General\ &quot;kg&quot;"/>
    <numFmt numFmtId="177" formatCode="General\ &quot;mm&quot;"/>
    <numFmt numFmtId="178" formatCode="0&quot; mm&quot;"/>
    <numFmt numFmtId="179" formatCode="General\ &quot;D&quot;"/>
    <numFmt numFmtId="180" formatCode="0.00&quot; D&quot;"/>
    <numFmt numFmtId="181" formatCode="0&quot;% L&quot;"/>
    <numFmt numFmtId="182" formatCode="General\°"/>
    <numFmt numFmtId="183" formatCode="0.#"/>
    <numFmt numFmtId="184" formatCode="0.0&quot; N.s&quot;"/>
    <numFmt numFmtId="185" formatCode="\±\ 0&quot; m&quot;"/>
    <numFmt numFmtId="186" formatCode="0.0&quot; s&quot;"/>
    <numFmt numFmtId="187" formatCode="0.0&quot; m/s&quot;"/>
    <numFmt numFmtId="188" formatCode="0&quot; m/s²&quot;"/>
    <numFmt numFmtId="189" formatCode="0.00&quot; m²&quot;"/>
    <numFmt numFmtId="190" formatCode="General\ &quot;g&quot;"/>
    <numFmt numFmtId="191" formatCode="#,##0.0\ [$ N]"/>
    <numFmt numFmtId="192" formatCode="#,##0.000\ [$KG]"/>
    <numFmt numFmtId="193" formatCode="0.0&quot; mm&quot;"/>
    <numFmt numFmtId="194" formatCode="General&quot; kg ±100%&quot;"/>
    <numFmt numFmtId="195" formatCode="0&quot; mm ±50%&quot;"/>
    <numFmt numFmtId="196" formatCode="General\ &quot;m/s²&quot;"/>
    <numFmt numFmtId="197" formatCode="&quot;Ø = &quot;0&quot; mm&quot;"/>
    <numFmt numFmtId="198" formatCode="#,##0\ [$ mm²]"/>
    <numFmt numFmtId="199" formatCode="#,#00\ [$ mm]"/>
    <numFmt numFmtId="200" formatCode="#,##0\ [$mm]"/>
    <numFmt numFmtId="201" formatCode="#,##0.00000\ [$ m²]"/>
    <numFmt numFmtId="202" formatCode="#,##0.0\ [$ kg]"/>
    <numFmt numFmtId="203" formatCode="0.00&quot; s&quot;"/>
    <numFmt numFmtId="204" formatCode="0.0&quot; N&quot;"/>
    <numFmt numFmtId="205" formatCode="0&quot; J&quot;"/>
    <numFmt numFmtId="206" formatCode="0&quot; G&quot;"/>
  </numFmts>
  <fonts count="52" x14ac:knownFonts="1">
    <font>
      <sz val="10"/>
      <name val="Arial"/>
      <family val="2"/>
    </font>
    <font>
      <sz val="10"/>
      <name val="Arial"/>
      <family val="2"/>
    </font>
    <font>
      <b/>
      <sz val="10"/>
      <name val="Arial"/>
      <family val="2"/>
    </font>
    <font>
      <b/>
      <sz val="20"/>
      <color indexed="9"/>
      <name val="Arial"/>
      <family val="2"/>
    </font>
    <font>
      <b/>
      <sz val="12"/>
      <name val="Times New Roman"/>
      <family val="1"/>
    </font>
    <font>
      <b/>
      <sz val="9"/>
      <name val="Arial"/>
      <family val="2"/>
    </font>
    <font>
      <b/>
      <u/>
      <sz val="10"/>
      <name val="Arial"/>
      <family val="2"/>
    </font>
    <font>
      <sz val="10"/>
      <color indexed="9"/>
      <name val="Arial"/>
      <family val="2"/>
    </font>
    <font>
      <sz val="8"/>
      <name val="Arial"/>
      <family val="2"/>
    </font>
    <font>
      <u/>
      <sz val="10"/>
      <name val="Arial"/>
      <family val="2"/>
    </font>
    <font>
      <u/>
      <sz val="10"/>
      <color indexed="12"/>
      <name val="Arial"/>
      <family val="2"/>
    </font>
    <font>
      <b/>
      <sz val="10"/>
      <color indexed="18"/>
      <name val="Arial"/>
      <family val="2"/>
    </font>
    <font>
      <b/>
      <sz val="10"/>
      <color indexed="58"/>
      <name val="Arial"/>
      <family val="2"/>
    </font>
    <font>
      <b/>
      <sz val="10"/>
      <color indexed="17"/>
      <name val="Arial"/>
      <family val="2"/>
    </font>
    <font>
      <b/>
      <sz val="10"/>
      <color indexed="23"/>
      <name val="Arial"/>
      <family val="2"/>
    </font>
    <font>
      <sz val="10"/>
      <name val="Arial"/>
      <family val="2"/>
    </font>
    <font>
      <b/>
      <sz val="10"/>
      <color indexed="10"/>
      <name val="Arial"/>
      <family val="2"/>
    </font>
    <font>
      <b/>
      <sz val="14"/>
      <color indexed="10"/>
      <name val="Arial"/>
      <family val="2"/>
    </font>
    <font>
      <sz val="8"/>
      <color indexed="8"/>
      <name val="Tahoma"/>
      <family val="2"/>
    </font>
    <font>
      <i/>
      <sz val="8"/>
      <color indexed="8"/>
      <name val="Tahoma"/>
      <family val="2"/>
    </font>
    <font>
      <b/>
      <sz val="8"/>
      <color indexed="8"/>
      <name val="Tahoma"/>
      <family val="2"/>
    </font>
    <font>
      <sz val="8"/>
      <color indexed="10"/>
      <name val="Tahoma"/>
      <family val="2"/>
    </font>
    <font>
      <i/>
      <sz val="8"/>
      <color indexed="10"/>
      <name val="Tahoma"/>
      <family val="2"/>
    </font>
    <font>
      <b/>
      <u/>
      <sz val="8"/>
      <color indexed="8"/>
      <name val="Tahoma"/>
      <family val="2"/>
    </font>
    <font>
      <b/>
      <sz val="8"/>
      <color indexed="16"/>
      <name val="Tahoma"/>
      <family val="2"/>
    </font>
    <font>
      <i/>
      <sz val="8"/>
      <color indexed="16"/>
      <name val="Tahoma"/>
      <family val="2"/>
    </font>
    <font>
      <strike/>
      <sz val="10"/>
      <name val="Arial"/>
      <family val="2"/>
    </font>
    <font>
      <b/>
      <i/>
      <sz val="8"/>
      <color indexed="8"/>
      <name val="Tahoma"/>
      <family val="2"/>
    </font>
    <font>
      <b/>
      <sz val="10"/>
      <color indexed="23"/>
      <name val="Arial"/>
      <family val="2"/>
    </font>
    <font>
      <b/>
      <sz val="6"/>
      <name val="Arial"/>
      <family val="2"/>
    </font>
    <font>
      <sz val="8"/>
      <color indexed="23"/>
      <name val="Arial"/>
      <family val="2"/>
    </font>
    <font>
      <b/>
      <sz val="10"/>
      <color indexed="23"/>
      <name val="Arial"/>
      <family val="2"/>
    </font>
    <font>
      <b/>
      <sz val="10"/>
      <color indexed="23"/>
      <name val="Arial"/>
      <family val="2"/>
    </font>
    <font>
      <sz val="10"/>
      <color indexed="23"/>
      <name val="Arial"/>
      <family val="2"/>
    </font>
    <font>
      <sz val="10"/>
      <color indexed="12"/>
      <name val="Arial"/>
      <family val="2"/>
    </font>
    <font>
      <b/>
      <sz val="12"/>
      <name val="Arial"/>
      <family val="2"/>
    </font>
    <font>
      <b/>
      <sz val="8"/>
      <name val="Arial"/>
      <family val="2"/>
    </font>
    <font>
      <sz val="8"/>
      <color indexed="12"/>
      <name val="Tahoma"/>
      <family val="2"/>
    </font>
    <font>
      <i/>
      <sz val="8"/>
      <color indexed="12"/>
      <name val="Tahoma"/>
      <family val="2"/>
    </font>
    <font>
      <sz val="8"/>
      <color indexed="81"/>
      <name val="Tahoma"/>
      <family val="2"/>
    </font>
    <font>
      <i/>
      <sz val="8"/>
      <color indexed="81"/>
      <name val="Tahoma"/>
      <family val="2"/>
    </font>
    <font>
      <b/>
      <sz val="10"/>
      <color indexed="53"/>
      <name val="Arial"/>
      <family val="2"/>
    </font>
    <font>
      <b/>
      <u/>
      <sz val="12"/>
      <name val="Arial"/>
      <family val="2"/>
    </font>
    <font>
      <b/>
      <i/>
      <sz val="10"/>
      <name val="Arial"/>
      <family val="2"/>
    </font>
    <font>
      <b/>
      <sz val="8"/>
      <color indexed="81"/>
      <name val="Tahoma"/>
      <family val="2"/>
    </font>
    <font>
      <b/>
      <sz val="10"/>
      <color rgb="FFFF0000"/>
      <name val="Arial"/>
      <family val="2"/>
    </font>
    <font>
      <b/>
      <sz val="10"/>
      <color rgb="FF808080"/>
      <name val="Arial"/>
      <family val="2"/>
    </font>
    <font>
      <sz val="10"/>
      <color rgb="FF808080"/>
      <name val="Arial"/>
      <family val="2"/>
    </font>
    <font>
      <sz val="8"/>
      <color rgb="FF808080"/>
      <name val="Arial"/>
      <family val="2"/>
    </font>
    <font>
      <sz val="8"/>
      <color theme="0"/>
      <name val="Arial"/>
      <family val="2"/>
    </font>
    <font>
      <sz val="10"/>
      <color rgb="FFFF0000"/>
      <name val="Arial"/>
      <family val="2"/>
    </font>
    <font>
      <b/>
      <sz val="10"/>
      <color theme="1"/>
      <name val="Arial"/>
      <family val="2"/>
    </font>
  </fonts>
  <fills count="35">
    <fill>
      <patternFill patternType="none"/>
    </fill>
    <fill>
      <patternFill patternType="gray125"/>
    </fill>
    <fill>
      <patternFill patternType="solid">
        <fgColor indexed="9"/>
        <bgColor indexed="26"/>
      </patternFill>
    </fill>
    <fill>
      <patternFill patternType="solid">
        <fgColor indexed="43"/>
        <bgColor indexed="42"/>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27"/>
        <bgColor indexed="42"/>
      </patternFill>
    </fill>
    <fill>
      <patternFill patternType="solid">
        <fgColor indexed="44"/>
        <bgColor indexed="27"/>
      </patternFill>
    </fill>
    <fill>
      <patternFill patternType="solid">
        <fgColor indexed="44"/>
        <bgColor indexed="22"/>
      </patternFill>
    </fill>
    <fill>
      <patternFill patternType="solid">
        <fgColor indexed="47"/>
        <bgColor indexed="64"/>
      </patternFill>
    </fill>
    <fill>
      <patternFill patternType="solid">
        <fgColor indexed="47"/>
        <bgColor indexed="27"/>
      </patternFill>
    </fill>
    <fill>
      <patternFill patternType="solid">
        <fgColor indexed="47"/>
        <bgColor indexed="44"/>
      </patternFill>
    </fill>
    <fill>
      <patternFill patternType="solid">
        <fgColor indexed="42"/>
        <bgColor indexed="42"/>
      </patternFill>
    </fill>
    <fill>
      <patternFill patternType="solid">
        <fgColor indexed="42"/>
        <bgColor indexed="64"/>
      </patternFill>
    </fill>
    <fill>
      <patternFill patternType="solid">
        <fgColor indexed="43"/>
        <bgColor indexed="44"/>
      </patternFill>
    </fill>
    <fill>
      <patternFill patternType="solid">
        <fgColor indexed="26"/>
        <bgColor indexed="41"/>
      </patternFill>
    </fill>
    <fill>
      <patternFill patternType="solid">
        <fgColor indexed="42"/>
        <bgColor indexed="41"/>
      </patternFill>
    </fill>
    <fill>
      <patternFill patternType="solid">
        <fgColor indexed="43"/>
        <bgColor indexed="41"/>
      </patternFill>
    </fill>
    <fill>
      <patternFill patternType="solid">
        <fgColor indexed="8"/>
        <bgColor indexed="64"/>
      </patternFill>
    </fill>
    <fill>
      <patternFill patternType="solid">
        <fgColor indexed="8"/>
        <bgColor indexed="58"/>
      </patternFill>
    </fill>
    <fill>
      <patternFill patternType="solid">
        <fgColor rgb="FFCCFFFF"/>
        <bgColor indexed="41"/>
      </patternFill>
    </fill>
    <fill>
      <patternFill patternType="solid">
        <fgColor rgb="FF99CCFF"/>
        <bgColor indexed="31"/>
      </patternFill>
    </fill>
    <fill>
      <patternFill patternType="solid">
        <fgColor rgb="FFCCFFFF"/>
        <bgColor indexed="42"/>
      </patternFill>
    </fill>
    <fill>
      <patternFill patternType="solid">
        <fgColor rgb="FFCCFFCC"/>
        <bgColor indexed="42"/>
      </patternFill>
    </fill>
    <fill>
      <patternFill patternType="solid">
        <fgColor rgb="FFCCFFCC"/>
        <bgColor indexed="41"/>
      </patternFill>
    </fill>
    <fill>
      <patternFill patternType="solid">
        <fgColor rgb="FFFFCC99"/>
        <bgColor indexed="31"/>
      </patternFill>
    </fill>
    <fill>
      <patternFill patternType="solid">
        <fgColor rgb="FF99CCFF"/>
        <bgColor indexed="64"/>
      </patternFill>
    </fill>
    <fill>
      <patternFill patternType="solid">
        <fgColor rgb="FFFFCC99"/>
        <bgColor indexed="64"/>
      </patternFill>
    </fill>
    <fill>
      <patternFill patternType="solid">
        <fgColor rgb="FFCCFFCC"/>
        <bgColor indexed="64"/>
      </patternFill>
    </fill>
    <fill>
      <patternFill patternType="solid">
        <fgColor rgb="FFFFFF99"/>
        <bgColor indexed="64"/>
      </patternFill>
    </fill>
    <fill>
      <patternFill patternType="solid">
        <fgColor rgb="FFFFCC99"/>
        <bgColor indexed="42"/>
      </patternFill>
    </fill>
    <fill>
      <patternFill patternType="solid">
        <fgColor rgb="FFCCFFFF"/>
        <bgColor indexed="64"/>
      </patternFill>
    </fill>
    <fill>
      <patternFill patternType="solid">
        <fgColor rgb="FFFFFF99"/>
        <bgColor indexed="42"/>
      </patternFill>
    </fill>
    <fill>
      <patternFill patternType="solid">
        <fgColor theme="0" tint="-0.499984740745262"/>
        <bgColor indexed="64"/>
      </patternFill>
    </fill>
  </fills>
  <borders count="104">
    <border>
      <left/>
      <right/>
      <top/>
      <bottom/>
      <diagonal/>
    </border>
    <border>
      <left style="medium">
        <color indexed="8"/>
      </left>
      <right style="medium">
        <color indexed="8"/>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double">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8"/>
      </right>
      <top style="medium">
        <color indexed="8"/>
      </top>
      <bottom style="medium">
        <color indexed="8"/>
      </bottom>
      <diagonal/>
    </border>
    <border>
      <left style="hair">
        <color indexed="8"/>
      </left>
      <right style="hair">
        <color indexed="8"/>
      </right>
      <top style="hair">
        <color indexed="8"/>
      </top>
      <bottom style="hair">
        <color indexed="8"/>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23"/>
      </bottom>
      <diagonal/>
    </border>
    <border>
      <left style="thin">
        <color indexed="8"/>
      </left>
      <right style="thin">
        <color indexed="8"/>
      </right>
      <top style="thin">
        <color indexed="23"/>
      </top>
      <bottom style="thin">
        <color indexed="8"/>
      </bottom>
      <diagonal/>
    </border>
    <border>
      <left style="thin">
        <color indexed="8"/>
      </left>
      <right/>
      <top style="thin">
        <color indexed="8"/>
      </top>
      <bottom style="thin">
        <color indexed="8"/>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8"/>
      </right>
      <top style="thin">
        <color indexed="8"/>
      </top>
      <bottom style="thin">
        <color indexed="8"/>
      </bottom>
      <diagonal/>
    </border>
    <border>
      <left style="thick">
        <color indexed="11"/>
      </left>
      <right style="thick">
        <color indexed="11"/>
      </right>
      <top style="thick">
        <color indexed="11"/>
      </top>
      <bottom style="thick">
        <color indexed="11"/>
      </bottom>
      <diagonal/>
    </border>
    <border>
      <left style="thick">
        <color indexed="11"/>
      </left>
      <right style="thick">
        <color indexed="57"/>
      </right>
      <top style="thick">
        <color indexed="57"/>
      </top>
      <bottom style="thick">
        <color indexed="57"/>
      </bottom>
      <diagonal/>
    </border>
    <border>
      <left style="thick">
        <color indexed="57"/>
      </left>
      <right style="mediumDashed">
        <color indexed="10"/>
      </right>
      <top style="mediumDashed">
        <color indexed="10"/>
      </top>
      <bottom style="mediumDashed">
        <color indexed="1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medium">
        <color indexed="8"/>
      </left>
      <right style="medium">
        <color indexed="8"/>
      </right>
      <top/>
      <bottom style="thin">
        <color indexed="8"/>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medium">
        <color indexed="8"/>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diagonal/>
    </border>
    <border>
      <left/>
      <right style="medium">
        <color indexed="8"/>
      </right>
      <top/>
      <bottom/>
      <diagonal/>
    </border>
    <border>
      <left/>
      <right style="thin">
        <color indexed="64"/>
      </right>
      <top style="thin">
        <color indexed="8"/>
      </top>
      <bottom/>
      <diagonal/>
    </border>
    <border>
      <left style="medium">
        <color indexed="64"/>
      </left>
      <right style="medium">
        <color indexed="64"/>
      </right>
      <top style="medium">
        <color indexed="64"/>
      </top>
      <bottom style="medium">
        <color indexed="64"/>
      </bottom>
      <diagonal/>
    </border>
    <border>
      <left/>
      <right/>
      <top style="medium">
        <color indexed="8"/>
      </top>
      <bottom style="medium">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style="thin">
        <color indexed="23"/>
      </bottom>
      <diagonal/>
    </border>
    <border>
      <left style="thin">
        <color indexed="8"/>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ck">
        <color indexed="14"/>
      </left>
      <right style="thin">
        <color indexed="64"/>
      </right>
      <top style="thick">
        <color indexed="14"/>
      </top>
      <bottom style="thick">
        <color indexed="14"/>
      </bottom>
      <diagonal/>
    </border>
    <border>
      <left style="thin">
        <color indexed="64"/>
      </left>
      <right style="thick">
        <color indexed="14"/>
      </right>
      <top style="thick">
        <color indexed="14"/>
      </top>
      <bottom style="thick">
        <color indexed="14"/>
      </bottom>
      <diagonal/>
    </border>
    <border>
      <left style="thin">
        <color indexed="64"/>
      </left>
      <right style="double">
        <color indexed="64"/>
      </right>
      <top/>
      <bottom style="thin">
        <color indexed="64"/>
      </bottom>
      <diagonal/>
    </border>
    <border>
      <left style="thick">
        <color indexed="20"/>
      </left>
      <right/>
      <top style="thick">
        <color indexed="20"/>
      </top>
      <bottom style="thick">
        <color indexed="20"/>
      </bottom>
      <diagonal/>
    </border>
    <border>
      <left/>
      <right style="thick">
        <color indexed="20"/>
      </right>
      <top style="thick">
        <color indexed="20"/>
      </top>
      <bottom style="thick">
        <color indexed="20"/>
      </bottom>
      <diagonal/>
    </border>
    <border>
      <left style="thick">
        <color indexed="18"/>
      </left>
      <right/>
      <top style="thick">
        <color indexed="18"/>
      </top>
      <bottom style="thick">
        <color indexed="18"/>
      </bottom>
      <diagonal/>
    </border>
    <border>
      <left/>
      <right style="thick">
        <color indexed="18"/>
      </right>
      <top style="thick">
        <color indexed="18"/>
      </top>
      <bottom style="thick">
        <color indexed="18"/>
      </bottom>
      <diagonal/>
    </border>
    <border>
      <left/>
      <right style="double">
        <color indexed="64"/>
      </right>
      <top style="thin">
        <color indexed="64"/>
      </top>
      <bottom style="thin">
        <color indexed="64"/>
      </bottom>
      <diagonal/>
    </border>
    <border>
      <left/>
      <right/>
      <top style="thin">
        <color indexed="64"/>
      </top>
      <bottom style="thick">
        <color indexed="20"/>
      </bottom>
      <diagonal/>
    </border>
    <border>
      <left/>
      <right style="double">
        <color indexed="64"/>
      </right>
      <top/>
      <bottom style="thin">
        <color indexed="64"/>
      </bottom>
      <diagonal/>
    </border>
    <border>
      <left style="thin">
        <color indexed="8"/>
      </left>
      <right/>
      <top style="thin">
        <color indexed="23"/>
      </top>
      <bottom style="thin">
        <color indexed="8"/>
      </bottom>
      <diagonal/>
    </border>
    <border>
      <left/>
      <right style="thin">
        <color indexed="8"/>
      </right>
      <top style="thin">
        <color indexed="23"/>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23"/>
      </bottom>
      <diagonal/>
    </border>
    <border>
      <left/>
      <right style="thin">
        <color indexed="8"/>
      </right>
      <top style="thin">
        <color indexed="8"/>
      </top>
      <bottom style="thin">
        <color indexed="23"/>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double">
        <color indexed="8"/>
      </right>
      <top style="thin">
        <color indexed="64"/>
      </top>
      <bottom style="thin">
        <color indexed="64"/>
      </bottom>
      <diagonal/>
    </border>
    <border>
      <left/>
      <right style="thin">
        <color indexed="8"/>
      </right>
      <top style="thin">
        <color indexed="8"/>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23"/>
      </bottom>
      <diagonal/>
    </border>
    <border>
      <left style="thin">
        <color indexed="64"/>
      </left>
      <right style="thin">
        <color indexed="8"/>
      </right>
      <top style="thin">
        <color indexed="8"/>
      </top>
      <bottom style="thin">
        <color indexed="8"/>
      </bottom>
      <diagonal/>
    </border>
    <border>
      <left style="thin">
        <color indexed="64"/>
      </left>
      <right/>
      <top style="thin">
        <color indexed="8"/>
      </top>
      <bottom style="thin">
        <color indexed="23"/>
      </bottom>
      <diagonal/>
    </border>
    <border>
      <left style="thin">
        <color indexed="64"/>
      </left>
      <right style="thin">
        <color indexed="8"/>
      </right>
      <top style="thin">
        <color indexed="8"/>
      </top>
      <bottom style="thin">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hair">
        <color indexed="8"/>
      </left>
      <right style="hair">
        <color indexed="8"/>
      </right>
      <top style="hair">
        <color indexed="8"/>
      </top>
      <bottom/>
      <diagonal/>
    </border>
    <border>
      <left style="thin">
        <color indexed="8"/>
      </left>
      <right style="thin">
        <color indexed="8"/>
      </right>
      <top/>
      <bottom/>
      <diagonal/>
    </border>
  </borders>
  <cellStyleXfs count="3">
    <xf numFmtId="0" fontId="0" fillId="0" borderId="0"/>
    <xf numFmtId="0" fontId="10" fillId="0" borderId="0" applyNumberFormat="0" applyFill="0" applyBorder="0" applyAlignment="0" applyProtection="0"/>
    <xf numFmtId="0" fontId="1" fillId="0" borderId="0"/>
  </cellStyleXfs>
  <cellXfs count="683">
    <xf numFmtId="0" fontId="0" fillId="0" borderId="0" xfId="0"/>
    <xf numFmtId="0" fontId="0" fillId="0" borderId="0" xfId="0" applyAlignment="1">
      <alignment vertical="center"/>
    </xf>
    <xf numFmtId="0" fontId="2" fillId="0" borderId="0" xfId="0" applyFont="1"/>
    <xf numFmtId="0" fontId="2" fillId="0" borderId="0" xfId="0" applyFont="1" applyAlignment="1">
      <alignment horizontal="center" vertical="center"/>
    </xf>
    <xf numFmtId="0" fontId="2" fillId="0" borderId="0" xfId="0" applyFont="1" applyAlignment="1">
      <alignment vertical="center"/>
    </xf>
    <xf numFmtId="0" fontId="0" fillId="0" borderId="0" xfId="0" applyAlignment="1">
      <alignment horizontal="center" vertical="center"/>
    </xf>
    <xf numFmtId="0" fontId="2" fillId="0" borderId="0" xfId="0" applyFont="1" applyAlignment="1">
      <alignment horizontal="center"/>
    </xf>
    <xf numFmtId="2" fontId="0" fillId="0" borderId="0" xfId="0" applyNumberFormat="1" applyAlignment="1">
      <alignment horizontal="center"/>
    </xf>
    <xf numFmtId="2" fontId="7" fillId="0" borderId="0" xfId="0" applyNumberFormat="1" applyFont="1" applyAlignment="1">
      <alignment horizontal="center"/>
    </xf>
    <xf numFmtId="2" fontId="0" fillId="2" borderId="0" xfId="0" applyNumberFormat="1" applyFill="1" applyAlignment="1">
      <alignment horizontal="center"/>
    </xf>
    <xf numFmtId="0" fontId="7" fillId="0" borderId="0" xfId="0" applyFont="1" applyAlignment="1">
      <alignment horizontal="center"/>
    </xf>
    <xf numFmtId="0" fontId="7" fillId="0" borderId="1" xfId="0" applyFont="1" applyBorder="1" applyAlignment="1">
      <alignment horizontal="center"/>
    </xf>
    <xf numFmtId="0" fontId="0" fillId="0" borderId="0" xfId="0" applyAlignment="1">
      <alignment horizontal="center"/>
    </xf>
    <xf numFmtId="0" fontId="6" fillId="0" borderId="0" xfId="0" applyFont="1"/>
    <xf numFmtId="0" fontId="9" fillId="0" borderId="0" xfId="0" applyFont="1"/>
    <xf numFmtId="0" fontId="10" fillId="0" borderId="0" xfId="1" applyNumberFormat="1" applyFill="1" applyBorder="1" applyAlignment="1" applyProtection="1"/>
    <xf numFmtId="14" fontId="0" fillId="0" borderId="0" xfId="0" applyNumberFormat="1" applyAlignment="1">
      <alignment horizontal="left"/>
    </xf>
    <xf numFmtId="171" fontId="2" fillId="3" borderId="2" xfId="0" applyNumberFormat="1" applyFont="1" applyFill="1" applyBorder="1" applyAlignment="1" applyProtection="1">
      <alignment horizontal="center" vertical="center"/>
      <protection locked="0"/>
    </xf>
    <xf numFmtId="0" fontId="16" fillId="0" borderId="0" xfId="0" applyFont="1" applyAlignment="1">
      <alignment vertical="center"/>
    </xf>
    <xf numFmtId="0" fontId="2" fillId="0" borderId="3" xfId="2" applyFont="1" applyBorder="1"/>
    <xf numFmtId="0" fontId="2" fillId="0" borderId="4" xfId="2" applyFont="1" applyBorder="1"/>
    <xf numFmtId="0" fontId="2" fillId="0" borderId="4" xfId="2" applyFont="1" applyBorder="1" applyAlignment="1">
      <alignment horizontal="center"/>
    </xf>
    <xf numFmtId="0" fontId="15" fillId="0" borderId="4" xfId="2" applyFont="1" applyBorder="1" applyProtection="1">
      <protection hidden="1"/>
    </xf>
    <xf numFmtId="0" fontId="1" fillId="0" borderId="5" xfId="2" applyBorder="1"/>
    <xf numFmtId="0" fontId="2" fillId="0" borderId="0" xfId="2" applyFont="1"/>
    <xf numFmtId="0" fontId="2" fillId="0" borderId="6" xfId="2" applyFont="1" applyBorder="1"/>
    <xf numFmtId="0" fontId="15" fillId="0" borderId="0" xfId="2" applyFont="1" applyProtection="1">
      <protection hidden="1"/>
    </xf>
    <xf numFmtId="0" fontId="1" fillId="0" borderId="7" xfId="2" applyBorder="1"/>
    <xf numFmtId="0" fontId="4" fillId="0" borderId="0" xfId="2" applyFont="1"/>
    <xf numFmtId="0" fontId="2" fillId="0" borderId="7" xfId="2" applyFont="1" applyBorder="1"/>
    <xf numFmtId="0" fontId="2" fillId="0" borderId="0" xfId="2" applyFont="1" applyAlignment="1" applyProtection="1">
      <alignment horizontal="center"/>
      <protection hidden="1"/>
    </xf>
    <xf numFmtId="0" fontId="2" fillId="0" borderId="0" xfId="2" applyFont="1" applyAlignment="1">
      <alignment horizontal="center"/>
    </xf>
    <xf numFmtId="0" fontId="16" fillId="0" borderId="0" xfId="2" applyFont="1"/>
    <xf numFmtId="0" fontId="2" fillId="0" borderId="0" xfId="2" applyFont="1" applyProtection="1">
      <protection hidden="1"/>
    </xf>
    <xf numFmtId="0" fontId="15" fillId="4" borderId="8" xfId="2" applyFont="1" applyFill="1" applyBorder="1" applyAlignment="1" applyProtection="1">
      <alignment horizontal="center"/>
      <protection locked="0"/>
    </xf>
    <xf numFmtId="177" fontId="2" fillId="4" borderId="2" xfId="2" applyNumberFormat="1" applyFont="1" applyFill="1" applyBorder="1" applyAlignment="1" applyProtection="1">
      <alignment horizontal="center"/>
      <protection locked="0"/>
    </xf>
    <xf numFmtId="0" fontId="2" fillId="4" borderId="2" xfId="2" applyFont="1" applyFill="1" applyBorder="1" applyAlignment="1" applyProtection="1">
      <alignment horizontal="center"/>
      <protection locked="0"/>
    </xf>
    <xf numFmtId="0" fontId="16" fillId="0" borderId="0" xfId="2" applyFont="1" applyProtection="1">
      <protection hidden="1"/>
    </xf>
    <xf numFmtId="0" fontId="15" fillId="0" borderId="0" xfId="2" applyFont="1"/>
    <xf numFmtId="14" fontId="15" fillId="0" borderId="0" xfId="2" applyNumberFormat="1" applyFont="1" applyAlignment="1" applyProtection="1">
      <alignment horizontal="center"/>
      <protection hidden="1"/>
    </xf>
    <xf numFmtId="0" fontId="2" fillId="0" borderId="9" xfId="2" applyFont="1" applyBorder="1"/>
    <xf numFmtId="0" fontId="2" fillId="0" borderId="10" xfId="2" applyFont="1" applyBorder="1" applyAlignment="1" applyProtection="1">
      <alignment horizontal="center"/>
      <protection locked="0"/>
    </xf>
    <xf numFmtId="0" fontId="2" fillId="0" borderId="10" xfId="2" applyFont="1" applyBorder="1" applyProtection="1">
      <protection locked="0"/>
    </xf>
    <xf numFmtId="0" fontId="2" fillId="0" borderId="0" xfId="2" applyFont="1" applyProtection="1">
      <protection locked="0"/>
    </xf>
    <xf numFmtId="0" fontId="2" fillId="0" borderId="0" xfId="2" applyFont="1" applyAlignment="1" applyProtection="1">
      <alignment horizontal="center"/>
      <protection locked="0"/>
    </xf>
    <xf numFmtId="0" fontId="15" fillId="0" borderId="0" xfId="2" applyFont="1" applyAlignment="1" applyProtection="1">
      <alignment horizontal="center"/>
      <protection hidden="1"/>
    </xf>
    <xf numFmtId="1" fontId="15" fillId="0" borderId="0" xfId="2" applyNumberFormat="1" applyFont="1" applyAlignment="1" applyProtection="1">
      <alignment horizontal="center"/>
      <protection hidden="1"/>
    </xf>
    <xf numFmtId="0" fontId="0" fillId="0" borderId="0" xfId="0" applyAlignment="1">
      <alignment horizontal="left"/>
    </xf>
    <xf numFmtId="0" fontId="15" fillId="0" borderId="0" xfId="0" applyFont="1"/>
    <xf numFmtId="0" fontId="26" fillId="0" borderId="0" xfId="0" applyFont="1"/>
    <xf numFmtId="14" fontId="0" fillId="0" borderId="0" xfId="0" applyNumberFormat="1" applyAlignment="1">
      <alignment horizontal="center" vertical="center"/>
    </xf>
    <xf numFmtId="0" fontId="2" fillId="0" borderId="3" xfId="0" applyFont="1" applyBorder="1"/>
    <xf numFmtId="0" fontId="2" fillId="0" borderId="4" xfId="0" applyFont="1" applyBorder="1"/>
    <xf numFmtId="0" fontId="2" fillId="0" borderId="4" xfId="0" applyFont="1" applyBorder="1" applyAlignment="1">
      <alignment horizontal="center"/>
    </xf>
    <xf numFmtId="0" fontId="0" fillId="0" borderId="4" xfId="0" applyBorder="1" applyAlignment="1">
      <alignment vertical="center"/>
    </xf>
    <xf numFmtId="0" fontId="0" fillId="0" borderId="5" xfId="0" applyBorder="1" applyAlignment="1">
      <alignment vertical="center"/>
    </xf>
    <xf numFmtId="0" fontId="2" fillId="0" borderId="6" xfId="0" applyFont="1" applyBorder="1"/>
    <xf numFmtId="0" fontId="2" fillId="0" borderId="7" xfId="0" applyFont="1"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0" fillId="0" borderId="9" xfId="0" applyBorder="1" applyAlignment="1">
      <alignment vertical="center"/>
    </xf>
    <xf numFmtId="0" fontId="0" fillId="0" borderId="10" xfId="0" applyBorder="1" applyAlignment="1" applyProtection="1">
      <alignment vertical="center"/>
      <protection locked="0"/>
    </xf>
    <xf numFmtId="0" fontId="0" fillId="0" borderId="0" xfId="0" applyAlignment="1" applyProtection="1">
      <alignment vertical="center"/>
      <protection hidden="1"/>
    </xf>
    <xf numFmtId="169" fontId="0" fillId="0" borderId="0" xfId="0" applyNumberFormat="1" applyAlignment="1" applyProtection="1">
      <alignment vertical="center"/>
      <protection hidden="1"/>
    </xf>
    <xf numFmtId="164" fontId="0" fillId="3" borderId="11" xfId="0" applyNumberFormat="1" applyFill="1" applyBorder="1" applyAlignment="1">
      <alignment horizontal="center"/>
    </xf>
    <xf numFmtId="178" fontId="0" fillId="3" borderId="11" xfId="0" applyNumberFormat="1" applyFill="1" applyBorder="1" applyAlignment="1">
      <alignment horizontal="center"/>
    </xf>
    <xf numFmtId="0" fontId="0" fillId="3" borderId="11" xfId="0" applyFill="1" applyBorder="1" applyAlignment="1">
      <alignment horizontal="center"/>
    </xf>
    <xf numFmtId="0" fontId="15" fillId="0" borderId="10" xfId="2" applyFont="1" applyBorder="1" applyProtection="1">
      <protection locked="0"/>
    </xf>
    <xf numFmtId="0" fontId="10" fillId="0" borderId="0" xfId="1"/>
    <xf numFmtId="0" fontId="2" fillId="0" borderId="12" xfId="0" applyFont="1" applyBorder="1" applyAlignment="1">
      <alignment horizontal="center" vertical="center"/>
    </xf>
    <xf numFmtId="0" fontId="2" fillId="0" borderId="12" xfId="0" applyFont="1" applyBorder="1" applyAlignment="1">
      <alignment horizontal="center"/>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165" fontId="0" fillId="0" borderId="0" xfId="0" applyNumberFormat="1" applyAlignment="1">
      <alignment horizontal="center"/>
    </xf>
    <xf numFmtId="0" fontId="0" fillId="0" borderId="9" xfId="0" applyBorder="1"/>
    <xf numFmtId="0" fontId="0" fillId="0" borderId="10" xfId="0" applyBorder="1"/>
    <xf numFmtId="0" fontId="0" fillId="0" borderId="13" xfId="0" applyBorder="1"/>
    <xf numFmtId="1" fontId="0" fillId="0" borderId="0" xfId="0" applyNumberFormat="1" applyAlignment="1">
      <alignment horizontal="center"/>
    </xf>
    <xf numFmtId="165" fontId="0" fillId="0" borderId="0" xfId="0" applyNumberFormat="1" applyAlignment="1">
      <alignment horizontal="center" vertical="center"/>
    </xf>
    <xf numFmtId="1" fontId="0" fillId="0" borderId="0" xfId="0" applyNumberFormat="1" applyAlignment="1">
      <alignment horizontal="center" vertical="center"/>
    </xf>
    <xf numFmtId="182" fontId="2" fillId="0" borderId="12" xfId="0" applyNumberFormat="1" applyFont="1" applyBorder="1" applyAlignment="1">
      <alignment horizontal="center"/>
    </xf>
    <xf numFmtId="1" fontId="2" fillId="0" borderId="12" xfId="0" applyNumberFormat="1" applyFont="1" applyBorder="1" applyAlignment="1">
      <alignment horizontal="center"/>
    </xf>
    <xf numFmtId="165" fontId="2" fillId="0" borderId="12" xfId="0" applyNumberFormat="1" applyFont="1" applyBorder="1" applyAlignment="1">
      <alignment horizontal="center" vertical="center"/>
    </xf>
    <xf numFmtId="165" fontId="2" fillId="0" borderId="12" xfId="0" applyNumberFormat="1" applyFont="1" applyBorder="1" applyAlignment="1">
      <alignment horizontal="center"/>
    </xf>
    <xf numFmtId="0" fontId="0" fillId="0" borderId="0" xfId="2" applyFont="1" applyAlignment="1" applyProtection="1">
      <alignment horizontal="center"/>
      <protection hidden="1"/>
    </xf>
    <xf numFmtId="0" fontId="8" fillId="0" borderId="4" xfId="2" applyFont="1" applyBorder="1"/>
    <xf numFmtId="0" fontId="8" fillId="0" borderId="0" xfId="2" applyFont="1"/>
    <xf numFmtId="0" fontId="8" fillId="0" borderId="0" xfId="2" applyFont="1" applyProtection="1">
      <protection hidden="1"/>
    </xf>
    <xf numFmtId="0" fontId="8" fillId="0" borderId="10" xfId="2" applyFont="1" applyBorder="1" applyProtection="1">
      <protection locked="0"/>
    </xf>
    <xf numFmtId="0" fontId="8" fillId="0" borderId="0" xfId="2" applyFont="1" applyAlignment="1" applyProtection="1">
      <alignment horizontal="center"/>
      <protection hidden="1"/>
    </xf>
    <xf numFmtId="1" fontId="8" fillId="0" borderId="0" xfId="2" applyNumberFormat="1" applyFont="1" applyAlignment="1" applyProtection="1">
      <alignment horizontal="center"/>
      <protection hidden="1"/>
    </xf>
    <xf numFmtId="0" fontId="31" fillId="0" borderId="0" xfId="2" applyFont="1"/>
    <xf numFmtId="0" fontId="0" fillId="0" borderId="0" xfId="0" applyProtection="1">
      <protection locked="0"/>
    </xf>
    <xf numFmtId="165" fontId="2" fillId="5" borderId="14" xfId="2" applyNumberFormat="1" applyFont="1" applyFill="1" applyBorder="1" applyAlignment="1">
      <alignment horizontal="center"/>
    </xf>
    <xf numFmtId="180" fontId="2" fillId="5" borderId="2" xfId="2" applyNumberFormat="1" applyFont="1" applyFill="1" applyBorder="1" applyAlignment="1">
      <alignment horizontal="center"/>
    </xf>
    <xf numFmtId="180" fontId="2" fillId="5" borderId="14" xfId="2" applyNumberFormat="1" applyFont="1" applyFill="1" applyBorder="1" applyAlignment="1">
      <alignment horizontal="center"/>
    </xf>
    <xf numFmtId="165" fontId="2" fillId="5" borderId="2" xfId="2" applyNumberFormat="1" applyFont="1" applyFill="1" applyBorder="1" applyAlignment="1">
      <alignment horizontal="center"/>
    </xf>
    <xf numFmtId="181" fontId="28" fillId="5" borderId="2" xfId="2" applyNumberFormat="1" applyFont="1" applyFill="1" applyBorder="1" applyAlignment="1">
      <alignment horizontal="center"/>
    </xf>
    <xf numFmtId="181" fontId="28" fillId="5" borderId="14" xfId="2" applyNumberFormat="1" applyFont="1" applyFill="1" applyBorder="1" applyAlignment="1">
      <alignment horizontal="center"/>
    </xf>
    <xf numFmtId="0" fontId="2" fillId="5" borderId="2" xfId="2" applyFont="1" applyFill="1" applyBorder="1" applyAlignment="1" applyProtection="1">
      <alignment horizontal="center"/>
      <protection hidden="1"/>
    </xf>
    <xf numFmtId="0" fontId="28" fillId="5" borderId="2" xfId="2" applyFont="1" applyFill="1" applyBorder="1" applyAlignment="1" applyProtection="1">
      <alignment horizontal="center"/>
      <protection hidden="1"/>
    </xf>
    <xf numFmtId="0" fontId="32" fillId="5" borderId="2" xfId="2" applyFont="1" applyFill="1" applyBorder="1" applyAlignment="1" applyProtection="1">
      <alignment horizontal="center"/>
      <protection hidden="1"/>
    </xf>
    <xf numFmtId="0" fontId="2" fillId="6" borderId="2" xfId="2" applyFont="1" applyFill="1" applyBorder="1" applyAlignment="1">
      <alignment horizontal="center"/>
    </xf>
    <xf numFmtId="0" fontId="28" fillId="6" borderId="2" xfId="2" applyFont="1" applyFill="1" applyBorder="1" applyAlignment="1">
      <alignment horizontal="center"/>
    </xf>
    <xf numFmtId="0" fontId="33" fillId="0" borderId="0" xfId="2" applyFont="1"/>
    <xf numFmtId="0" fontId="33" fillId="6" borderId="2" xfId="2" applyFont="1" applyFill="1" applyBorder="1" applyAlignment="1" applyProtection="1">
      <alignment horizontal="center"/>
      <protection hidden="1"/>
    </xf>
    <xf numFmtId="176" fontId="33" fillId="5" borderId="2" xfId="2" applyNumberFormat="1" applyFont="1" applyFill="1" applyBorder="1" applyAlignment="1" applyProtection="1">
      <alignment horizontal="center"/>
      <protection hidden="1"/>
    </xf>
    <xf numFmtId="0" fontId="33" fillId="5" borderId="2" xfId="2" applyFont="1" applyFill="1" applyBorder="1" applyAlignment="1">
      <alignment horizontal="center"/>
    </xf>
    <xf numFmtId="177" fontId="33" fillId="5" borderId="2" xfId="2" applyNumberFormat="1" applyFont="1" applyFill="1" applyBorder="1" applyAlignment="1" applyProtection="1">
      <alignment horizontal="center"/>
      <protection hidden="1"/>
    </xf>
    <xf numFmtId="176" fontId="33" fillId="5" borderId="2" xfId="2" applyNumberFormat="1" applyFont="1" applyFill="1" applyBorder="1" applyAlignment="1">
      <alignment horizontal="center"/>
    </xf>
    <xf numFmtId="178" fontId="33" fillId="5" borderId="2" xfId="2" applyNumberFormat="1" applyFont="1" applyFill="1" applyBorder="1" applyAlignment="1" applyProtection="1">
      <alignment horizontal="center"/>
      <protection hidden="1"/>
    </xf>
    <xf numFmtId="0" fontId="33" fillId="0" borderId="0" xfId="2" applyFont="1" applyProtection="1">
      <protection hidden="1"/>
    </xf>
    <xf numFmtId="2" fontId="0" fillId="7" borderId="15" xfId="0" applyNumberFormat="1" applyFill="1" applyBorder="1" applyAlignment="1">
      <alignment horizontal="center" vertical="center"/>
    </xf>
    <xf numFmtId="165" fontId="0" fillId="7" borderId="15" xfId="0" applyNumberFormat="1" applyFill="1" applyBorder="1" applyAlignment="1">
      <alignment horizontal="center" vertical="center"/>
    </xf>
    <xf numFmtId="1" fontId="2" fillId="7" borderId="15" xfId="0" applyNumberFormat="1" applyFont="1" applyFill="1" applyBorder="1" applyAlignment="1">
      <alignment horizontal="center" vertical="center"/>
    </xf>
    <xf numFmtId="165" fontId="2" fillId="7" borderId="15" xfId="0" applyNumberFormat="1" applyFont="1" applyFill="1" applyBorder="1" applyAlignment="1">
      <alignment horizontal="center" vertical="center"/>
    </xf>
    <xf numFmtId="1" fontId="0" fillId="7" borderId="15" xfId="0" applyNumberFormat="1" applyFill="1" applyBorder="1" applyAlignment="1">
      <alignment horizontal="center" vertical="center"/>
    </xf>
    <xf numFmtId="1" fontId="15" fillId="7" borderId="15" xfId="0" applyNumberFormat="1" applyFont="1" applyFill="1" applyBorder="1" applyAlignment="1">
      <alignment horizontal="center" vertical="center"/>
    </xf>
    <xf numFmtId="165" fontId="15" fillId="7" borderId="15" xfId="0" applyNumberFormat="1" applyFont="1" applyFill="1" applyBorder="1" applyAlignment="1">
      <alignment horizontal="center" vertical="center"/>
    </xf>
    <xf numFmtId="165" fontId="0" fillId="7" borderId="16" xfId="0" applyNumberFormat="1" applyFill="1" applyBorder="1" applyAlignment="1">
      <alignment horizontal="center" vertical="center"/>
    </xf>
    <xf numFmtId="1" fontId="2" fillId="7" borderId="16" xfId="0" applyNumberFormat="1" applyFont="1" applyFill="1" applyBorder="1" applyAlignment="1">
      <alignment horizontal="center" vertical="center"/>
    </xf>
    <xf numFmtId="165" fontId="15" fillId="7" borderId="16" xfId="0" applyNumberFormat="1" applyFont="1" applyFill="1" applyBorder="1" applyAlignment="1">
      <alignment horizontal="center" vertical="center"/>
    </xf>
    <xf numFmtId="1" fontId="2" fillId="7" borderId="17" xfId="0" applyNumberFormat="1" applyFont="1" applyFill="1" applyBorder="1" applyAlignment="1">
      <alignment horizontal="center" vertical="center"/>
    </xf>
    <xf numFmtId="1" fontId="0" fillId="7" borderId="17" xfId="0" applyNumberFormat="1" applyFill="1" applyBorder="1" applyAlignment="1">
      <alignment horizontal="center" vertical="center"/>
    </xf>
    <xf numFmtId="0" fontId="0" fillId="7" borderId="17" xfId="0" applyFill="1" applyBorder="1" applyAlignment="1">
      <alignment horizontal="center" vertical="center"/>
    </xf>
    <xf numFmtId="165" fontId="0" fillId="7" borderId="17" xfId="0" applyNumberFormat="1" applyFill="1" applyBorder="1" applyAlignment="1">
      <alignment horizontal="center" vertical="center"/>
    </xf>
    <xf numFmtId="1" fontId="15" fillId="7" borderId="16" xfId="0" applyNumberFormat="1" applyFont="1" applyFill="1" applyBorder="1" applyAlignment="1">
      <alignment horizontal="center" vertical="center"/>
    </xf>
    <xf numFmtId="1" fontId="15" fillId="7" borderId="17" xfId="0" applyNumberFormat="1" applyFont="1" applyFill="1" applyBorder="1" applyAlignment="1">
      <alignment horizontal="center" vertical="center"/>
    </xf>
    <xf numFmtId="165" fontId="2" fillId="7" borderId="17" xfId="0" applyNumberFormat="1" applyFont="1" applyFill="1" applyBorder="1" applyAlignment="1">
      <alignment horizontal="center" vertical="center"/>
    </xf>
    <xf numFmtId="173" fontId="2" fillId="7" borderId="2" xfId="0" applyNumberFormat="1" applyFont="1" applyFill="1" applyBorder="1" applyAlignment="1">
      <alignment horizontal="center" vertical="center"/>
    </xf>
    <xf numFmtId="0" fontId="2" fillId="8" borderId="18" xfId="0" applyFont="1" applyFill="1" applyBorder="1" applyAlignment="1" applyProtection="1">
      <alignment horizontal="center" vertical="center"/>
      <protection hidden="1"/>
    </xf>
    <xf numFmtId="0" fontId="2" fillId="9" borderId="15" xfId="0" applyFont="1" applyFill="1" applyBorder="1" applyAlignment="1" applyProtection="1">
      <alignment horizontal="center" vertical="center"/>
      <protection hidden="1"/>
    </xf>
    <xf numFmtId="0" fontId="5" fillId="9" borderId="15" xfId="0" applyFont="1" applyFill="1" applyBorder="1" applyAlignment="1" applyProtection="1">
      <alignment horizontal="center" vertical="center"/>
      <protection hidden="1"/>
    </xf>
    <xf numFmtId="0" fontId="0" fillId="9" borderId="15" xfId="0" applyFill="1" applyBorder="1" applyAlignment="1" applyProtection="1">
      <alignment horizontal="center" vertical="center"/>
      <protection hidden="1"/>
    </xf>
    <xf numFmtId="0" fontId="2" fillId="6" borderId="2" xfId="2" applyFont="1" applyFill="1" applyBorder="1" applyAlignment="1" applyProtection="1">
      <alignment horizontal="center"/>
      <protection hidden="1"/>
    </xf>
    <xf numFmtId="0" fontId="2" fillId="10" borderId="2" xfId="2" applyFont="1" applyFill="1" applyBorder="1" applyAlignment="1" applyProtection="1">
      <alignment horizontal="center" vertical="center"/>
      <protection hidden="1"/>
    </xf>
    <xf numFmtId="0" fontId="2" fillId="10" borderId="2" xfId="2" applyFont="1" applyFill="1" applyBorder="1" applyAlignment="1" applyProtection="1">
      <alignment horizontal="center"/>
      <protection hidden="1"/>
    </xf>
    <xf numFmtId="0" fontId="2" fillId="11" borderId="15" xfId="0" applyFont="1" applyFill="1" applyBorder="1" applyAlignment="1" applyProtection="1">
      <alignment horizontal="center" vertical="center"/>
      <protection hidden="1"/>
    </xf>
    <xf numFmtId="0" fontId="2" fillId="11" borderId="18" xfId="0" applyFont="1" applyFill="1" applyBorder="1" applyAlignment="1" applyProtection="1">
      <alignment horizontal="center" vertical="center"/>
      <protection hidden="1"/>
    </xf>
    <xf numFmtId="0" fontId="13" fillId="12" borderId="2" xfId="0" applyFont="1" applyFill="1" applyBorder="1" applyAlignment="1" applyProtection="1">
      <alignment horizontal="center"/>
      <protection hidden="1"/>
    </xf>
    <xf numFmtId="0" fontId="2" fillId="13" borderId="2" xfId="0" applyFont="1" applyFill="1" applyBorder="1" applyAlignment="1" applyProtection="1">
      <alignment horizontal="center" vertical="center"/>
      <protection locked="0"/>
    </xf>
    <xf numFmtId="174" fontId="2" fillId="13" borderId="2" xfId="0" applyNumberFormat="1" applyFont="1" applyFill="1" applyBorder="1" applyAlignment="1" applyProtection="1">
      <alignment horizontal="center" vertical="center"/>
      <protection locked="0"/>
    </xf>
    <xf numFmtId="178" fontId="14" fillId="14" borderId="2" xfId="2" applyNumberFormat="1" applyFont="1" applyFill="1" applyBorder="1" applyAlignment="1">
      <alignment horizontal="center"/>
    </xf>
    <xf numFmtId="1" fontId="30" fillId="14" borderId="2" xfId="2" applyNumberFormat="1" applyFont="1" applyFill="1" applyBorder="1" applyAlignment="1">
      <alignment horizontal="center"/>
    </xf>
    <xf numFmtId="0" fontId="2" fillId="10" borderId="2" xfId="2" applyFont="1" applyFill="1" applyBorder="1" applyAlignment="1">
      <alignment horizontal="center"/>
    </xf>
    <xf numFmtId="0" fontId="0" fillId="7" borderId="15" xfId="0" applyFill="1" applyBorder="1" applyAlignment="1">
      <alignment horizontal="center" vertical="center"/>
    </xf>
    <xf numFmtId="0" fontId="2" fillId="7" borderId="15" xfId="0" applyFont="1" applyFill="1" applyBorder="1" applyAlignment="1">
      <alignment horizontal="center" vertical="center"/>
    </xf>
    <xf numFmtId="0" fontId="0" fillId="13" borderId="15" xfId="0" applyFill="1" applyBorder="1" applyAlignment="1" applyProtection="1">
      <alignment horizontal="center" vertical="center"/>
      <protection locked="0"/>
    </xf>
    <xf numFmtId="185" fontId="2" fillId="7" borderId="2" xfId="0" applyNumberFormat="1" applyFont="1" applyFill="1" applyBorder="1" applyAlignment="1">
      <alignment horizontal="center" vertical="center"/>
    </xf>
    <xf numFmtId="186" fontId="0" fillId="7" borderId="16" xfId="0" applyNumberFormat="1" applyFill="1" applyBorder="1" applyAlignment="1">
      <alignment horizontal="center" vertical="center"/>
    </xf>
    <xf numFmtId="186" fontId="2" fillId="7" borderId="15" xfId="0" applyNumberFormat="1" applyFont="1" applyFill="1" applyBorder="1" applyAlignment="1">
      <alignment horizontal="center" vertical="center"/>
    </xf>
    <xf numFmtId="175" fontId="15" fillId="7" borderId="16" xfId="0" applyNumberFormat="1" applyFont="1" applyFill="1" applyBorder="1" applyAlignment="1">
      <alignment horizontal="center" vertical="center"/>
    </xf>
    <xf numFmtId="175" fontId="15" fillId="7" borderId="15" xfId="0" applyNumberFormat="1" applyFont="1" applyFill="1" applyBorder="1" applyAlignment="1">
      <alignment horizontal="center" vertical="center"/>
    </xf>
    <xf numFmtId="175" fontId="2" fillId="7" borderId="16" xfId="0" applyNumberFormat="1" applyFont="1" applyFill="1" applyBorder="1" applyAlignment="1">
      <alignment horizontal="center" vertical="center"/>
    </xf>
    <xf numFmtId="175" fontId="2" fillId="7" borderId="15" xfId="0" applyNumberFormat="1" applyFont="1" applyFill="1" applyBorder="1" applyAlignment="1">
      <alignment horizontal="center" vertical="center"/>
    </xf>
    <xf numFmtId="172" fontId="2" fillId="7" borderId="15" xfId="0" applyNumberFormat="1" applyFont="1" applyFill="1" applyBorder="1" applyAlignment="1">
      <alignment horizontal="center" vertical="center"/>
    </xf>
    <xf numFmtId="172" fontId="2" fillId="7" borderId="16" xfId="0" applyNumberFormat="1" applyFont="1" applyFill="1" applyBorder="1" applyAlignment="1">
      <alignment horizontal="center" vertical="center"/>
    </xf>
    <xf numFmtId="172" fontId="15" fillId="7" borderId="15" xfId="0" applyNumberFormat="1" applyFont="1" applyFill="1" applyBorder="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2" fillId="11" borderId="24" xfId="0" applyFont="1" applyFill="1" applyBorder="1" applyAlignment="1" applyProtection="1">
      <alignment horizontal="center" vertical="center"/>
      <protection hidden="1"/>
    </xf>
    <xf numFmtId="178" fontId="2" fillId="3" borderId="25" xfId="0" applyNumberFormat="1" applyFont="1" applyFill="1" applyBorder="1" applyAlignment="1" applyProtection="1">
      <alignment horizontal="center" vertical="center"/>
      <protection locked="0"/>
    </xf>
    <xf numFmtId="178" fontId="2" fillId="3" borderId="26" xfId="0" applyNumberFormat="1" applyFont="1" applyFill="1" applyBorder="1" applyAlignment="1" applyProtection="1">
      <alignment horizontal="center" vertical="center"/>
      <protection locked="0"/>
    </xf>
    <xf numFmtId="0" fontId="2" fillId="8" borderId="24" xfId="0" applyFont="1" applyFill="1" applyBorder="1" applyAlignment="1" applyProtection="1">
      <alignment horizontal="center" vertical="center"/>
      <protection hidden="1"/>
    </xf>
    <xf numFmtId="0" fontId="2" fillId="9" borderId="27" xfId="0" applyFont="1" applyFill="1" applyBorder="1" applyAlignment="1" applyProtection="1">
      <alignment horizontal="center" vertical="center"/>
      <protection hidden="1"/>
    </xf>
    <xf numFmtId="0" fontId="0" fillId="9" borderId="27" xfId="0" applyFill="1" applyBorder="1" applyAlignment="1" applyProtection="1">
      <alignment horizontal="center" vertical="center"/>
      <protection hidden="1"/>
    </xf>
    <xf numFmtId="0" fontId="2" fillId="0" borderId="21" xfId="0" applyFont="1" applyBorder="1" applyAlignment="1">
      <alignment vertical="center"/>
    </xf>
    <xf numFmtId="14" fontId="0" fillId="0" borderId="23" xfId="0" applyNumberFormat="1" applyBorder="1" applyAlignment="1">
      <alignment horizontal="center" vertical="center"/>
    </xf>
    <xf numFmtId="189" fontId="2" fillId="7" borderId="25" xfId="0" applyNumberFormat="1" applyFont="1" applyFill="1" applyBorder="1" applyAlignment="1">
      <alignment horizontal="center" vertical="center"/>
    </xf>
    <xf numFmtId="0" fontId="34" fillId="6" borderId="2" xfId="2" applyFont="1" applyFill="1" applyBorder="1" applyAlignment="1" applyProtection="1">
      <alignment horizontal="center"/>
      <protection hidden="1"/>
    </xf>
    <xf numFmtId="178" fontId="34" fillId="5" borderId="2" xfId="2" applyNumberFormat="1" applyFont="1" applyFill="1" applyBorder="1" applyAlignment="1">
      <alignment horizontal="center"/>
    </xf>
    <xf numFmtId="177" fontId="2" fillId="4" borderId="25" xfId="2" applyNumberFormat="1" applyFont="1" applyFill="1" applyBorder="1" applyAlignment="1" applyProtection="1">
      <alignment horizontal="center"/>
      <protection locked="0"/>
    </xf>
    <xf numFmtId="0" fontId="2" fillId="10" borderId="28" xfId="2" applyFont="1" applyFill="1" applyBorder="1" applyAlignment="1" applyProtection="1">
      <alignment horizontal="center"/>
      <protection hidden="1"/>
    </xf>
    <xf numFmtId="0" fontId="2" fillId="10" borderId="29" xfId="2" applyFont="1" applyFill="1" applyBorder="1" applyAlignment="1" applyProtection="1">
      <alignment horizontal="center"/>
      <protection hidden="1"/>
    </xf>
    <xf numFmtId="0" fontId="36" fillId="10" borderId="30" xfId="2" applyFont="1" applyFill="1" applyBorder="1" applyAlignment="1" applyProtection="1">
      <alignment horizontal="center"/>
      <protection hidden="1"/>
    </xf>
    <xf numFmtId="0" fontId="0" fillId="0" borderId="10" xfId="0" applyBorder="1" applyAlignment="1">
      <alignment vertical="center"/>
    </xf>
    <xf numFmtId="0" fontId="15" fillId="0" borderId="10" xfId="2" applyFont="1" applyBorder="1"/>
    <xf numFmtId="0" fontId="15" fillId="0" borderId="31" xfId="2" applyFont="1" applyBorder="1" applyAlignment="1" applyProtection="1">
      <alignment horizontal="center"/>
      <protection hidden="1"/>
    </xf>
    <xf numFmtId="0" fontId="15" fillId="0" borderId="32" xfId="2" applyFont="1" applyBorder="1" applyAlignment="1">
      <alignment horizontal="center"/>
    </xf>
    <xf numFmtId="0" fontId="15" fillId="0" borderId="19" xfId="2" applyFont="1" applyBorder="1" applyAlignment="1" applyProtection="1">
      <alignment horizontal="center"/>
      <protection hidden="1"/>
    </xf>
    <xf numFmtId="0" fontId="15" fillId="0" borderId="20" xfId="2" applyFont="1" applyBorder="1" applyAlignment="1">
      <alignment horizontal="center"/>
    </xf>
    <xf numFmtId="0" fontId="15" fillId="0" borderId="21" xfId="2" applyFont="1" applyBorder="1" applyAlignment="1" applyProtection="1">
      <alignment horizontal="center"/>
      <protection hidden="1"/>
    </xf>
    <xf numFmtId="0" fontId="15" fillId="0" borderId="23" xfId="2" applyFont="1" applyBorder="1" applyAlignment="1">
      <alignment horizontal="center"/>
    </xf>
    <xf numFmtId="0" fontId="15" fillId="0" borderId="20" xfId="2" applyFont="1" applyBorder="1" applyAlignment="1" applyProtection="1">
      <alignment horizontal="center"/>
      <protection hidden="1"/>
    </xf>
    <xf numFmtId="0" fontId="15" fillId="0" borderId="23" xfId="2" applyFont="1" applyBorder="1" applyAlignment="1" applyProtection="1">
      <alignment horizontal="center"/>
      <protection hidden="1"/>
    </xf>
    <xf numFmtId="2" fontId="15" fillId="0" borderId="31" xfId="2" applyNumberFormat="1" applyFont="1" applyBorder="1" applyAlignment="1" applyProtection="1">
      <alignment horizontal="center"/>
      <protection hidden="1"/>
    </xf>
    <xf numFmtId="0" fontId="0" fillId="0" borderId="31" xfId="2" applyFont="1" applyBorder="1" applyAlignment="1" applyProtection="1">
      <alignment horizontal="center"/>
      <protection hidden="1"/>
    </xf>
    <xf numFmtId="0" fontId="0" fillId="0" borderId="33" xfId="2" applyFont="1" applyBorder="1" applyAlignment="1" applyProtection="1">
      <alignment horizontal="center"/>
      <protection hidden="1"/>
    </xf>
    <xf numFmtId="0" fontId="0" fillId="0" borderId="32" xfId="2" applyFont="1" applyBorder="1" applyAlignment="1" applyProtection="1">
      <alignment horizontal="center"/>
      <protection hidden="1"/>
    </xf>
    <xf numFmtId="0" fontId="0" fillId="0" borderId="19" xfId="2" applyFont="1" applyBorder="1" applyAlignment="1" applyProtection="1">
      <alignment horizontal="center"/>
      <protection hidden="1"/>
    </xf>
    <xf numFmtId="0" fontId="15" fillId="0" borderId="22" xfId="2" applyFont="1" applyBorder="1" applyAlignment="1" applyProtection="1">
      <alignment horizontal="center"/>
      <protection hidden="1"/>
    </xf>
    <xf numFmtId="1" fontId="15" fillId="0" borderId="33" xfId="2" applyNumberFormat="1" applyFont="1" applyBorder="1" applyAlignment="1" applyProtection="1">
      <alignment horizontal="center"/>
      <protection hidden="1"/>
    </xf>
    <xf numFmtId="1" fontId="8" fillId="0" borderId="32" xfId="2" applyNumberFormat="1" applyFont="1" applyBorder="1" applyAlignment="1" applyProtection="1">
      <alignment horizontal="center"/>
      <protection hidden="1"/>
    </xf>
    <xf numFmtId="1" fontId="8" fillId="0" borderId="20" xfId="2" applyNumberFormat="1" applyFont="1" applyBorder="1" applyAlignment="1" applyProtection="1">
      <alignment horizontal="center"/>
      <protection hidden="1"/>
    </xf>
    <xf numFmtId="1" fontId="15" fillId="0" borderId="22" xfId="2" applyNumberFormat="1" applyFont="1" applyBorder="1" applyAlignment="1" applyProtection="1">
      <alignment horizontal="center"/>
      <protection hidden="1"/>
    </xf>
    <xf numFmtId="1" fontId="8" fillId="0" borderId="23" xfId="2" applyNumberFormat="1" applyFont="1" applyBorder="1" applyAlignment="1" applyProtection="1">
      <alignment horizontal="center"/>
      <protection hidden="1"/>
    </xf>
    <xf numFmtId="0" fontId="15" fillId="0" borderId="33" xfId="2" applyFont="1" applyBorder="1" applyAlignment="1" applyProtection="1">
      <alignment horizontal="center"/>
      <protection hidden="1"/>
    </xf>
    <xf numFmtId="2" fontId="15" fillId="0" borderId="33" xfId="2" applyNumberFormat="1" applyFont="1" applyBorder="1" applyAlignment="1" applyProtection="1">
      <alignment horizontal="center"/>
      <protection hidden="1"/>
    </xf>
    <xf numFmtId="0" fontId="8" fillId="0" borderId="32" xfId="2" applyFont="1" applyBorder="1" applyAlignment="1" applyProtection="1">
      <alignment horizontal="center"/>
      <protection hidden="1"/>
    </xf>
    <xf numFmtId="0" fontId="8" fillId="0" borderId="20" xfId="2" applyFont="1" applyBorder="1" applyAlignment="1" applyProtection="1">
      <alignment horizontal="center"/>
      <protection hidden="1"/>
    </xf>
    <xf numFmtId="0" fontId="8" fillId="0" borderId="23" xfId="2" applyFont="1" applyBorder="1" applyAlignment="1" applyProtection="1">
      <alignment horizontal="center"/>
      <protection hidden="1"/>
    </xf>
    <xf numFmtId="1" fontId="15" fillId="0" borderId="32" xfId="2" applyNumberFormat="1" applyFont="1" applyBorder="1" applyAlignment="1" applyProtection="1">
      <alignment horizontal="center"/>
      <protection hidden="1"/>
    </xf>
    <xf numFmtId="1" fontId="15" fillId="0" borderId="20" xfId="2" applyNumberFormat="1" applyFont="1" applyBorder="1" applyAlignment="1" applyProtection="1">
      <alignment horizontal="center"/>
      <protection hidden="1"/>
    </xf>
    <xf numFmtId="1" fontId="15" fillId="0" borderId="23" xfId="2" applyNumberFormat="1" applyFont="1" applyBorder="1" applyAlignment="1" applyProtection="1">
      <alignment horizontal="center"/>
      <protection hidden="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21" xfId="2" applyFont="1" applyBorder="1" applyAlignment="1" applyProtection="1">
      <alignment horizontal="center"/>
      <protection hidden="1"/>
    </xf>
    <xf numFmtId="165" fontId="0" fillId="0" borderId="19" xfId="0" applyNumberFormat="1" applyBorder="1" applyAlignment="1">
      <alignment horizontal="center" vertical="center"/>
    </xf>
    <xf numFmtId="1" fontId="0" fillId="0" borderId="20" xfId="0" applyNumberFormat="1" applyBorder="1" applyAlignment="1">
      <alignment horizontal="center" vertical="center"/>
    </xf>
    <xf numFmtId="165" fontId="0" fillId="0" borderId="21" xfId="0" applyNumberFormat="1" applyBorder="1" applyAlignment="1">
      <alignment horizontal="center" vertical="center"/>
    </xf>
    <xf numFmtId="1" fontId="0" fillId="0" borderId="23" xfId="0" applyNumberFormat="1" applyBorder="1" applyAlignment="1">
      <alignment horizontal="center" vertical="center"/>
    </xf>
    <xf numFmtId="1" fontId="0" fillId="0" borderId="19" xfId="0" applyNumberFormat="1" applyBorder="1" applyAlignment="1">
      <alignment horizontal="center" vertical="center"/>
    </xf>
    <xf numFmtId="1" fontId="0" fillId="0" borderId="21" xfId="0" applyNumberFormat="1" applyBorder="1" applyAlignment="1">
      <alignment horizontal="center" vertical="center"/>
    </xf>
    <xf numFmtId="0" fontId="0" fillId="0" borderId="23" xfId="0" applyBorder="1" applyAlignment="1">
      <alignment horizontal="center" vertical="center"/>
    </xf>
    <xf numFmtId="0" fontId="14" fillId="15" borderId="8" xfId="0" applyFont="1" applyFill="1" applyBorder="1" applyAlignment="1" applyProtection="1">
      <alignment horizontal="center"/>
      <protection locked="0"/>
    </xf>
    <xf numFmtId="0" fontId="0" fillId="0" borderId="0" xfId="0" applyAlignment="1">
      <alignment horizontal="right" vertical="center"/>
    </xf>
    <xf numFmtId="190" fontId="2" fillId="4" borderId="2" xfId="2" applyNumberFormat="1" applyFont="1" applyFill="1" applyBorder="1" applyAlignment="1" applyProtection="1">
      <alignment horizontal="center"/>
      <protection locked="0"/>
    </xf>
    <xf numFmtId="0" fontId="0" fillId="0" borderId="0" xfId="2" applyFont="1"/>
    <xf numFmtId="0" fontId="30" fillId="6" borderId="2" xfId="2" applyFont="1" applyFill="1" applyBorder="1" applyAlignment="1" applyProtection="1">
      <alignment horizontal="center"/>
      <protection hidden="1"/>
    </xf>
    <xf numFmtId="189" fontId="2" fillId="3" borderId="2" xfId="0" applyNumberFormat="1" applyFont="1" applyFill="1" applyBorder="1" applyAlignment="1" applyProtection="1">
      <alignment horizontal="center" vertical="center"/>
      <protection locked="0"/>
    </xf>
    <xf numFmtId="0" fontId="0" fillId="0" borderId="0" xfId="0" applyAlignment="1">
      <alignment horizontal="right"/>
    </xf>
    <xf numFmtId="0" fontId="2" fillId="11" borderId="18" xfId="1" applyFont="1" applyFill="1" applyBorder="1" applyAlignment="1" applyProtection="1">
      <alignment horizontal="center" vertical="center"/>
      <protection hidden="1"/>
    </xf>
    <xf numFmtId="0" fontId="0" fillId="0" borderId="33" xfId="0" applyBorder="1" applyAlignment="1">
      <alignment horizontal="center" vertical="center"/>
    </xf>
    <xf numFmtId="0" fontId="0" fillId="0" borderId="21" xfId="0" applyBorder="1" applyAlignment="1">
      <alignment horizontal="center" vertical="center"/>
    </xf>
    <xf numFmtId="1" fontId="0" fillId="0" borderId="22" xfId="0" applyNumberFormat="1" applyBorder="1" applyAlignment="1">
      <alignment horizontal="center" vertical="center"/>
    </xf>
    <xf numFmtId="0" fontId="0" fillId="0" borderId="19" xfId="0" applyBorder="1" applyAlignment="1">
      <alignment horizontal="center" vertical="center"/>
    </xf>
    <xf numFmtId="0" fontId="0" fillId="0" borderId="31" xfId="0" applyBorder="1" applyAlignment="1">
      <alignment vertical="center"/>
    </xf>
    <xf numFmtId="0" fontId="0" fillId="0" borderId="32" xfId="0" applyBorder="1" applyAlignment="1">
      <alignment horizontal="left" vertical="center"/>
    </xf>
    <xf numFmtId="0" fontId="0" fillId="0" borderId="20" xfId="0" applyBorder="1" applyAlignment="1">
      <alignment horizontal="left" vertical="center"/>
    </xf>
    <xf numFmtId="0" fontId="0" fillId="0" borderId="19" xfId="0" applyBorder="1" applyAlignment="1">
      <alignment horizontal="right" vertical="center"/>
    </xf>
    <xf numFmtId="2" fontId="0" fillId="0" borderId="20" xfId="0" applyNumberFormat="1" applyBorder="1" applyAlignment="1">
      <alignment horizontal="center" vertical="center"/>
    </xf>
    <xf numFmtId="0" fontId="0" fillId="0" borderId="21" xfId="0" applyBorder="1" applyAlignment="1">
      <alignment horizontal="right" vertical="center"/>
    </xf>
    <xf numFmtId="2" fontId="0" fillId="0" borderId="23" xfId="0" applyNumberFormat="1" applyBorder="1" applyAlignment="1">
      <alignment horizontal="center" vertical="center"/>
    </xf>
    <xf numFmtId="0" fontId="0" fillId="0" borderId="31" xfId="0" applyBorder="1" applyAlignment="1">
      <alignment horizontal="right" vertical="center"/>
    </xf>
    <xf numFmtId="2" fontId="0" fillId="0" borderId="32" xfId="0" applyNumberFormat="1" applyBorder="1" applyAlignment="1">
      <alignment horizontal="center" vertical="center"/>
    </xf>
    <xf numFmtId="0" fontId="2" fillId="0" borderId="20" xfId="0" applyFont="1" applyBorder="1" applyAlignment="1">
      <alignment horizontal="center" vertical="center"/>
    </xf>
    <xf numFmtId="1" fontId="2" fillId="0" borderId="0" xfId="0" applyNumberFormat="1" applyFont="1" applyAlignment="1">
      <alignment horizontal="center"/>
    </xf>
    <xf numFmtId="0" fontId="2" fillId="0" borderId="32" xfId="0" applyFont="1" applyBorder="1" applyAlignment="1">
      <alignment horizontal="center"/>
    </xf>
    <xf numFmtId="0" fontId="2" fillId="0" borderId="20" xfId="0" applyFont="1" applyBorder="1" applyAlignment="1">
      <alignment horizontal="center"/>
    </xf>
    <xf numFmtId="1" fontId="2" fillId="0" borderId="23" xfId="0" applyNumberFormat="1" applyFont="1" applyBorder="1" applyAlignment="1">
      <alignment horizontal="center"/>
    </xf>
    <xf numFmtId="0" fontId="2" fillId="0" borderId="33" xfId="0" applyFont="1" applyBorder="1" applyAlignment="1">
      <alignment horizontal="center"/>
    </xf>
    <xf numFmtId="165" fontId="2" fillId="0" borderId="0" xfId="0" applyNumberFormat="1" applyFont="1" applyAlignment="1">
      <alignment horizontal="center" vertical="center"/>
    </xf>
    <xf numFmtId="165" fontId="2" fillId="0" borderId="0" xfId="0" applyNumberFormat="1" applyFont="1" applyAlignment="1">
      <alignment horizontal="center"/>
    </xf>
    <xf numFmtId="0" fontId="2" fillId="0" borderId="33" xfId="0" applyFont="1" applyBorder="1"/>
    <xf numFmtId="165" fontId="2" fillId="0" borderId="33" xfId="0" applyNumberFormat="1" applyFont="1" applyBorder="1" applyAlignment="1">
      <alignment horizontal="center" vertical="center"/>
    </xf>
    <xf numFmtId="165" fontId="2" fillId="0" borderId="32" xfId="0" applyNumberFormat="1" applyFont="1" applyBorder="1" applyAlignment="1">
      <alignment horizontal="center" vertical="center"/>
    </xf>
    <xf numFmtId="0" fontId="2" fillId="0" borderId="20" xfId="0" applyFont="1" applyBorder="1"/>
    <xf numFmtId="165" fontId="2" fillId="0" borderId="20" xfId="0" applyNumberFormat="1" applyFont="1" applyBorder="1" applyAlignment="1">
      <alignment horizontal="center" vertical="center"/>
    </xf>
    <xf numFmtId="165" fontId="2" fillId="0" borderId="20" xfId="0" applyNumberFormat="1" applyFont="1" applyBorder="1" applyAlignment="1">
      <alignment horizontal="center"/>
    </xf>
    <xf numFmtId="0" fontId="2" fillId="0" borderId="22" xfId="0" applyFont="1" applyBorder="1"/>
    <xf numFmtId="165" fontId="2" fillId="0" borderId="22" xfId="0" applyNumberFormat="1" applyFont="1" applyBorder="1" applyAlignment="1">
      <alignment horizontal="center" vertical="center"/>
    </xf>
    <xf numFmtId="165" fontId="2" fillId="0" borderId="23" xfId="0" applyNumberFormat="1" applyFont="1" applyBorder="1" applyAlignment="1">
      <alignment horizontal="center" vertical="center"/>
    </xf>
    <xf numFmtId="165" fontId="0" fillId="0" borderId="0" xfId="0" applyNumberFormat="1" applyAlignment="1">
      <alignment horizontal="left"/>
    </xf>
    <xf numFmtId="0" fontId="2" fillId="4" borderId="0" xfId="0" applyFont="1" applyFill="1" applyAlignment="1" applyProtection="1">
      <alignment horizontal="center" vertical="center"/>
      <protection locked="0"/>
    </xf>
    <xf numFmtId="0" fontId="2" fillId="0" borderId="23" xfId="0" applyFont="1" applyBorder="1" applyAlignment="1">
      <alignment horizontal="center"/>
    </xf>
    <xf numFmtId="0" fontId="0" fillId="0" borderId="33" xfId="0" applyBorder="1" applyAlignment="1">
      <alignment horizontal="center"/>
    </xf>
    <xf numFmtId="0" fontId="0" fillId="0" borderId="32" xfId="0" applyBorder="1" applyAlignment="1">
      <alignment horizontal="center"/>
    </xf>
    <xf numFmtId="1" fontId="2" fillId="0" borderId="22" xfId="0" applyNumberFormat="1" applyFont="1" applyBorder="1" applyAlignment="1">
      <alignment horizontal="center"/>
    </xf>
    <xf numFmtId="165" fontId="2" fillId="0" borderId="23" xfId="0" applyNumberFormat="1" applyFont="1" applyBorder="1" applyAlignment="1">
      <alignment horizontal="center"/>
    </xf>
    <xf numFmtId="0" fontId="0" fillId="0" borderId="33" xfId="0" applyBorder="1"/>
    <xf numFmtId="0" fontId="0" fillId="0" borderId="32" xfId="0" applyBorder="1"/>
    <xf numFmtId="0" fontId="0" fillId="0" borderId="20" xfId="0" applyBorder="1"/>
    <xf numFmtId="0" fontId="2" fillId="4" borderId="20" xfId="0" applyFont="1" applyFill="1" applyBorder="1" applyAlignment="1" applyProtection="1">
      <alignment horizontal="center" vertical="center"/>
      <protection locked="0"/>
    </xf>
    <xf numFmtId="0" fontId="0" fillId="0" borderId="21" xfId="0" applyBorder="1"/>
    <xf numFmtId="0" fontId="0" fillId="0" borderId="22" xfId="0" applyBorder="1"/>
    <xf numFmtId="0" fontId="0" fillId="0" borderId="23" xfId="0" applyBorder="1"/>
    <xf numFmtId="0" fontId="29" fillId="0" borderId="20" xfId="0" applyFont="1" applyBorder="1" applyAlignment="1">
      <alignment horizontal="left"/>
    </xf>
    <xf numFmtId="0" fontId="2" fillId="0" borderId="0" xfId="0" applyFont="1" applyAlignment="1">
      <alignment horizontal="right"/>
    </xf>
    <xf numFmtId="0" fontId="2" fillId="0" borderId="22" xfId="0" applyFont="1" applyBorder="1" applyAlignment="1">
      <alignment horizontal="center"/>
    </xf>
    <xf numFmtId="0" fontId="2" fillId="0" borderId="31" xfId="0" applyFont="1" applyBorder="1" applyAlignment="1">
      <alignment horizontal="center"/>
    </xf>
    <xf numFmtId="0" fontId="2" fillId="0" borderId="19" xfId="0" applyFont="1" applyBorder="1" applyAlignment="1">
      <alignment horizontal="center"/>
    </xf>
    <xf numFmtId="0" fontId="2" fillId="0" borderId="21" xfId="0" applyFont="1" applyBorder="1" applyAlignment="1">
      <alignment horizontal="center"/>
    </xf>
    <xf numFmtId="0" fontId="2" fillId="0" borderId="19" xfId="0" applyFont="1" applyBorder="1" applyAlignment="1">
      <alignment horizontal="center" vertical="center"/>
    </xf>
    <xf numFmtId="0" fontId="2" fillId="4" borderId="23" xfId="0" applyFont="1" applyFill="1" applyBorder="1" applyAlignment="1" applyProtection="1">
      <alignment horizontal="center" vertical="center"/>
      <protection locked="0"/>
    </xf>
    <xf numFmtId="1" fontId="2" fillId="0" borderId="20" xfId="0" applyNumberFormat="1" applyFont="1" applyBorder="1" applyAlignment="1">
      <alignment horizontal="center"/>
    </xf>
    <xf numFmtId="165" fontId="2" fillId="0" borderId="22" xfId="0" applyNumberFormat="1" applyFont="1" applyBorder="1" applyAlignment="1">
      <alignment horizontal="center"/>
    </xf>
    <xf numFmtId="0" fontId="2" fillId="0" borderId="34" xfId="0" applyFont="1" applyBorder="1" applyAlignment="1">
      <alignment horizontal="center"/>
    </xf>
    <xf numFmtId="1" fontId="2" fillId="0" borderId="0" xfId="0" applyNumberFormat="1" applyFont="1" applyAlignment="1">
      <alignment horizontal="center" vertical="center"/>
    </xf>
    <xf numFmtId="1" fontId="2" fillId="0" borderId="20" xfId="0" applyNumberFormat="1" applyFont="1" applyBorder="1" applyAlignment="1">
      <alignment horizontal="center" vertical="center"/>
    </xf>
    <xf numFmtId="0" fontId="2" fillId="0" borderId="35" xfId="0" applyFont="1" applyBorder="1"/>
    <xf numFmtId="1" fontId="2" fillId="0" borderId="35" xfId="0" applyNumberFormat="1" applyFont="1" applyBorder="1" applyAlignment="1">
      <alignment horizontal="center"/>
    </xf>
    <xf numFmtId="0" fontId="2" fillId="0" borderId="35" xfId="0" applyFont="1" applyBorder="1" applyAlignment="1">
      <alignment horizontal="center"/>
    </xf>
    <xf numFmtId="0" fontId="2" fillId="4" borderId="32" xfId="0" applyFont="1" applyFill="1" applyBorder="1" applyAlignment="1" applyProtection="1">
      <alignment horizontal="center" vertical="center"/>
      <protection locked="0"/>
    </xf>
    <xf numFmtId="0" fontId="2" fillId="0" borderId="23" xfId="0" applyFont="1" applyBorder="1"/>
    <xf numFmtId="0" fontId="30" fillId="0" borderId="13" xfId="0" applyFont="1" applyBorder="1" applyAlignment="1">
      <alignment horizontal="right" vertical="center"/>
    </xf>
    <xf numFmtId="0" fontId="30" fillId="0" borderId="13" xfId="2" applyFont="1" applyBorder="1" applyAlignment="1">
      <alignment horizontal="right"/>
    </xf>
    <xf numFmtId="2" fontId="0" fillId="16" borderId="31" xfId="0" applyNumberFormat="1" applyFill="1" applyBorder="1" applyAlignment="1">
      <alignment horizontal="center"/>
    </xf>
    <xf numFmtId="2" fontId="0" fillId="16" borderId="33" xfId="0" applyNumberFormat="1" applyFill="1" applyBorder="1" applyAlignment="1">
      <alignment horizontal="center"/>
    </xf>
    <xf numFmtId="2" fontId="0" fillId="16" borderId="32" xfId="0" applyNumberFormat="1" applyFill="1" applyBorder="1" applyAlignment="1">
      <alignment horizontal="center"/>
    </xf>
    <xf numFmtId="0" fontId="0" fillId="16" borderId="31" xfId="0" applyFill="1" applyBorder="1" applyAlignment="1">
      <alignment horizontal="center"/>
    </xf>
    <xf numFmtId="0" fontId="0" fillId="16" borderId="33" xfId="0" applyFill="1" applyBorder="1" applyAlignment="1">
      <alignment horizontal="center"/>
    </xf>
    <xf numFmtId="0" fontId="0" fillId="16" borderId="32" xfId="0" applyFill="1" applyBorder="1" applyAlignment="1">
      <alignment horizontal="center"/>
    </xf>
    <xf numFmtId="2" fontId="0" fillId="0" borderId="0" xfId="0" applyNumberFormat="1"/>
    <xf numFmtId="2" fontId="0" fillId="0" borderId="0" xfId="0" applyNumberFormat="1" applyAlignment="1">
      <alignment horizontal="left"/>
    </xf>
    <xf numFmtId="2" fontId="9" fillId="0" borderId="0" xfId="0" applyNumberFormat="1" applyFont="1" applyAlignment="1">
      <alignment horizontal="left"/>
    </xf>
    <xf numFmtId="2" fontId="10" fillId="0" borderId="0" xfId="1" applyNumberFormat="1" applyAlignment="1">
      <alignment horizontal="left"/>
    </xf>
    <xf numFmtId="2" fontId="10" fillId="0" borderId="0" xfId="1" applyNumberFormat="1" applyAlignment="1">
      <alignment horizontal="center"/>
    </xf>
    <xf numFmtId="2" fontId="0" fillId="0" borderId="0" xfId="0" quotePrefix="1" applyNumberFormat="1" applyAlignment="1">
      <alignment horizontal="center"/>
    </xf>
    <xf numFmtId="2" fontId="0" fillId="21" borderId="20" xfId="0" applyNumberFormat="1" applyFill="1" applyBorder="1" applyAlignment="1">
      <alignment horizontal="center"/>
    </xf>
    <xf numFmtId="2" fontId="0" fillId="21" borderId="23" xfId="0" applyNumberFormat="1" applyFill="1" applyBorder="1" applyAlignment="1">
      <alignment horizontal="center"/>
    </xf>
    <xf numFmtId="2" fontId="0" fillId="21" borderId="19" xfId="0" applyNumberFormat="1" applyFill="1" applyBorder="1" applyAlignment="1">
      <alignment horizontal="center"/>
    </xf>
    <xf numFmtId="2" fontId="0" fillId="21" borderId="0" xfId="0" applyNumberFormat="1" applyFill="1" applyAlignment="1">
      <alignment horizontal="center"/>
    </xf>
    <xf numFmtId="2" fontId="0" fillId="21" borderId="21" xfId="0" applyNumberFormat="1" applyFill="1" applyBorder="1" applyAlignment="1">
      <alignment horizontal="center"/>
    </xf>
    <xf numFmtId="2" fontId="0" fillId="21" borderId="22" xfId="0" applyNumberFormat="1" applyFill="1" applyBorder="1" applyAlignment="1">
      <alignment horizontal="center"/>
    </xf>
    <xf numFmtId="1" fontId="0" fillId="21" borderId="19" xfId="0" applyNumberFormat="1" applyFill="1" applyBorder="1" applyAlignment="1">
      <alignment horizontal="center"/>
    </xf>
    <xf numFmtId="2" fontId="0" fillId="21" borderId="26" xfId="0" applyNumberFormat="1" applyFill="1" applyBorder="1" applyAlignment="1">
      <alignment horizontal="center"/>
    </xf>
    <xf numFmtId="1" fontId="0" fillId="21" borderId="21" xfId="0" applyNumberFormat="1" applyFill="1" applyBorder="1" applyAlignment="1">
      <alignment horizontal="center"/>
    </xf>
    <xf numFmtId="2" fontId="0" fillId="21" borderId="25" xfId="0" applyNumberFormat="1" applyFill="1" applyBorder="1" applyAlignment="1">
      <alignment horizontal="center"/>
    </xf>
    <xf numFmtId="0" fontId="0" fillId="21" borderId="19" xfId="0" applyFill="1" applyBorder="1"/>
    <xf numFmtId="0" fontId="0" fillId="21" borderId="0" xfId="0" applyFill="1"/>
    <xf numFmtId="0" fontId="0" fillId="21" borderId="20" xfId="0" applyFill="1" applyBorder="1" applyAlignment="1">
      <alignment horizontal="center"/>
    </xf>
    <xf numFmtId="0" fontId="0" fillId="21" borderId="21" xfId="0" applyFill="1" applyBorder="1"/>
    <xf numFmtId="0" fontId="0" fillId="21" borderId="22" xfId="0" applyFill="1" applyBorder="1"/>
    <xf numFmtId="0" fontId="0" fillId="21" borderId="23" xfId="0" applyFill="1" applyBorder="1" applyAlignment="1">
      <alignment horizontal="center"/>
    </xf>
    <xf numFmtId="1" fontId="0" fillId="21" borderId="31" xfId="0" applyNumberFormat="1" applyFill="1" applyBorder="1" applyAlignment="1">
      <alignment horizontal="center"/>
    </xf>
    <xf numFmtId="1" fontId="0" fillId="21" borderId="33" xfId="0" applyNumberFormat="1" applyFill="1" applyBorder="1" applyAlignment="1">
      <alignment horizontal="center"/>
    </xf>
    <xf numFmtId="1" fontId="0" fillId="21" borderId="32" xfId="0" applyNumberFormat="1" applyFill="1" applyBorder="1" applyAlignment="1">
      <alignment horizontal="center"/>
    </xf>
    <xf numFmtId="1" fontId="0" fillId="21" borderId="0" xfId="0" applyNumberFormat="1" applyFill="1" applyAlignment="1">
      <alignment horizontal="center"/>
    </xf>
    <xf numFmtId="1" fontId="0" fillId="21" borderId="20" xfId="0" applyNumberFormat="1" applyFill="1" applyBorder="1" applyAlignment="1">
      <alignment horizontal="center"/>
    </xf>
    <xf numFmtId="1" fontId="0" fillId="21" borderId="22" xfId="0" applyNumberFormat="1" applyFill="1" applyBorder="1" applyAlignment="1">
      <alignment horizontal="center"/>
    </xf>
    <xf numFmtId="1" fontId="0" fillId="21" borderId="23" xfId="0" applyNumberFormat="1" applyFill="1" applyBorder="1" applyAlignment="1">
      <alignment horizontal="center"/>
    </xf>
    <xf numFmtId="2" fontId="0" fillId="21" borderId="32" xfId="0" applyNumberFormat="1" applyFill="1" applyBorder="1" applyAlignment="1">
      <alignment horizontal="center"/>
    </xf>
    <xf numFmtId="2" fontId="0" fillId="21" borderId="24" xfId="0" applyNumberFormat="1" applyFill="1" applyBorder="1" applyAlignment="1">
      <alignment horizontal="center"/>
    </xf>
    <xf numFmtId="2" fontId="0" fillId="21" borderId="31" xfId="0" applyNumberFormat="1" applyFill="1" applyBorder="1" applyAlignment="1">
      <alignment horizontal="center"/>
    </xf>
    <xf numFmtId="0" fontId="0" fillId="22" borderId="36" xfId="0" applyFill="1" applyBorder="1" applyAlignment="1">
      <alignment horizontal="center"/>
    </xf>
    <xf numFmtId="0" fontId="0" fillId="22" borderId="37" xfId="0" applyFill="1" applyBorder="1" applyAlignment="1">
      <alignment horizontal="center"/>
    </xf>
    <xf numFmtId="0" fontId="0" fillId="22" borderId="38" xfId="0" applyFill="1" applyBorder="1" applyAlignment="1">
      <alignment horizontal="center"/>
    </xf>
    <xf numFmtId="0" fontId="0" fillId="22" borderId="39" xfId="0" applyFill="1" applyBorder="1" applyAlignment="1">
      <alignment horizontal="center"/>
    </xf>
    <xf numFmtId="0" fontId="0" fillId="22" borderId="40" xfId="0" applyFill="1" applyBorder="1" applyAlignment="1">
      <alignment horizontal="center"/>
    </xf>
    <xf numFmtId="0" fontId="0" fillId="22" borderId="41" xfId="0" applyFill="1" applyBorder="1" applyAlignment="1">
      <alignment horizontal="center"/>
    </xf>
    <xf numFmtId="0" fontId="0" fillId="22" borderId="42" xfId="0" applyFill="1" applyBorder="1" applyAlignment="1">
      <alignment horizontal="center"/>
    </xf>
    <xf numFmtId="0" fontId="0" fillId="22" borderId="43" xfId="0" applyFill="1" applyBorder="1" applyAlignment="1">
      <alignment horizontal="center"/>
    </xf>
    <xf numFmtId="0" fontId="0" fillId="22" borderId="44" xfId="0" applyFill="1" applyBorder="1" applyAlignment="1">
      <alignment horizontal="center"/>
    </xf>
    <xf numFmtId="0" fontId="0" fillId="22" borderId="45" xfId="0" applyFill="1" applyBorder="1" applyAlignment="1">
      <alignment horizontal="center"/>
    </xf>
    <xf numFmtId="0" fontId="0" fillId="22" borderId="46" xfId="0" applyFill="1" applyBorder="1" applyAlignment="1">
      <alignment horizontal="center"/>
    </xf>
    <xf numFmtId="0" fontId="0" fillId="22" borderId="47" xfId="0" applyFill="1" applyBorder="1" applyAlignment="1">
      <alignment horizontal="center"/>
    </xf>
    <xf numFmtId="0" fontId="0" fillId="22" borderId="48" xfId="0" applyFill="1" applyBorder="1" applyAlignment="1">
      <alignment horizontal="center"/>
    </xf>
    <xf numFmtId="0" fontId="0" fillId="22" borderId="49" xfId="0" applyFill="1" applyBorder="1" applyAlignment="1">
      <alignment horizontal="center"/>
    </xf>
    <xf numFmtId="0" fontId="0" fillId="22" borderId="50" xfId="0" applyFill="1" applyBorder="1" applyAlignment="1">
      <alignment horizontal="center"/>
    </xf>
    <xf numFmtId="0" fontId="8" fillId="22" borderId="36" xfId="0" applyFont="1" applyFill="1" applyBorder="1" applyAlignment="1">
      <alignment horizontal="center"/>
    </xf>
    <xf numFmtId="0" fontId="15" fillId="22" borderId="37" xfId="0" applyFont="1" applyFill="1" applyBorder="1" applyAlignment="1">
      <alignment horizontal="center"/>
    </xf>
    <xf numFmtId="2" fontId="0" fillId="23" borderId="19" xfId="0" applyNumberFormat="1" applyFill="1" applyBorder="1" applyAlignment="1">
      <alignment horizontal="center"/>
    </xf>
    <xf numFmtId="2" fontId="0" fillId="23" borderId="21" xfId="0" applyNumberFormat="1" applyFill="1" applyBorder="1" applyAlignment="1">
      <alignment horizontal="center"/>
    </xf>
    <xf numFmtId="2" fontId="0" fillId="24" borderId="32" xfId="0" applyNumberFormat="1" applyFill="1" applyBorder="1" applyAlignment="1">
      <alignment horizontal="center"/>
    </xf>
    <xf numFmtId="2" fontId="0" fillId="24" borderId="31" xfId="0" applyNumberFormat="1" applyFill="1" applyBorder="1" applyAlignment="1">
      <alignment horizontal="center"/>
    </xf>
    <xf numFmtId="2" fontId="0" fillId="24" borderId="33" xfId="0" applyNumberFormat="1" applyFill="1" applyBorder="1" applyAlignment="1">
      <alignment horizontal="center"/>
    </xf>
    <xf numFmtId="0" fontId="0" fillId="25" borderId="51" xfId="0" applyFill="1" applyBorder="1" applyAlignment="1">
      <alignment horizontal="center"/>
    </xf>
    <xf numFmtId="184" fontId="0" fillId="25" borderId="11" xfId="0" applyNumberFormat="1" applyFill="1" applyBorder="1" applyAlignment="1">
      <alignment horizontal="center"/>
    </xf>
    <xf numFmtId="173" fontId="0" fillId="25" borderId="11" xfId="0" applyNumberFormat="1" applyFill="1" applyBorder="1" applyAlignment="1">
      <alignment horizontal="center"/>
    </xf>
    <xf numFmtId="164" fontId="0" fillId="24" borderId="11" xfId="0" applyNumberFormat="1" applyFill="1" applyBorder="1" applyAlignment="1">
      <alignment horizontal="center"/>
    </xf>
    <xf numFmtId="164" fontId="0" fillId="25" borderId="11" xfId="0" applyNumberFormat="1" applyFill="1" applyBorder="1" applyAlignment="1">
      <alignment horizontal="center"/>
    </xf>
    <xf numFmtId="178" fontId="0" fillId="24" borderId="11" xfId="0" applyNumberFormat="1" applyFill="1" applyBorder="1" applyAlignment="1">
      <alignment horizontal="center"/>
    </xf>
    <xf numFmtId="0" fontId="0" fillId="24" borderId="11" xfId="0" applyFill="1" applyBorder="1" applyAlignment="1">
      <alignment horizontal="center"/>
    </xf>
    <xf numFmtId="0" fontId="0" fillId="25" borderId="52" xfId="0" applyFill="1" applyBorder="1" applyAlignment="1">
      <alignment horizontal="center"/>
    </xf>
    <xf numFmtId="0" fontId="0" fillId="25" borderId="53" xfId="0" applyFill="1" applyBorder="1" applyAlignment="1">
      <alignment horizontal="center"/>
    </xf>
    <xf numFmtId="0" fontId="2" fillId="26" borderId="52" xfId="0" applyFont="1" applyFill="1" applyBorder="1" applyAlignment="1">
      <alignment horizontal="center"/>
    </xf>
    <xf numFmtId="0" fontId="0" fillId="26" borderId="54" xfId="0" applyFill="1" applyBorder="1" applyAlignment="1">
      <alignment horizontal="center"/>
    </xf>
    <xf numFmtId="0" fontId="0" fillId="26" borderId="53" xfId="0" applyFill="1" applyBorder="1" applyAlignment="1">
      <alignment horizontal="center"/>
    </xf>
    <xf numFmtId="0" fontId="0" fillId="25" borderId="55" xfId="0" applyFill="1" applyBorder="1" applyAlignment="1">
      <alignment horizontal="center"/>
    </xf>
    <xf numFmtId="0" fontId="0" fillId="25" borderId="56" xfId="0" applyFill="1" applyBorder="1" applyAlignment="1">
      <alignment horizontal="center"/>
    </xf>
    <xf numFmtId="0" fontId="0" fillId="25" borderId="57" xfId="0" applyFill="1" applyBorder="1" applyAlignment="1">
      <alignment horizontal="center"/>
    </xf>
    <xf numFmtId="0" fontId="0" fillId="25" borderId="58" xfId="0" applyFill="1" applyBorder="1" applyAlignment="1">
      <alignment horizontal="center"/>
    </xf>
    <xf numFmtId="0" fontId="0" fillId="25" borderId="59" xfId="0" applyFill="1" applyBorder="1" applyAlignment="1">
      <alignment horizontal="center"/>
    </xf>
    <xf numFmtId="0" fontId="0" fillId="25" borderId="60" xfId="0" applyFill="1" applyBorder="1" applyAlignment="1">
      <alignment horizontal="center"/>
    </xf>
    <xf numFmtId="0" fontId="0" fillId="3" borderId="55" xfId="0" applyFill="1" applyBorder="1" applyAlignment="1">
      <alignment horizontal="center"/>
    </xf>
    <xf numFmtId="0" fontId="0" fillId="3" borderId="56" xfId="0" applyFill="1" applyBorder="1" applyAlignment="1">
      <alignment horizontal="center"/>
    </xf>
    <xf numFmtId="0" fontId="0" fillId="3" borderId="61" xfId="0" applyFill="1" applyBorder="1" applyAlignment="1">
      <alignment horizontal="center"/>
    </xf>
    <xf numFmtId="0" fontId="0" fillId="3" borderId="0" xfId="0" applyFill="1" applyAlignment="1">
      <alignment horizontal="center"/>
    </xf>
    <xf numFmtId="183" fontId="0" fillId="25" borderId="58" xfId="0" applyNumberFormat="1" applyFill="1" applyBorder="1" applyAlignment="1">
      <alignment horizontal="center"/>
    </xf>
    <xf numFmtId="183" fontId="0" fillId="25" borderId="59" xfId="0" applyNumberFormat="1" applyFill="1" applyBorder="1" applyAlignment="1">
      <alignment horizontal="center"/>
    </xf>
    <xf numFmtId="2" fontId="0" fillId="3" borderId="0" xfId="0" applyNumberFormat="1" applyFill="1" applyAlignment="1">
      <alignment horizontal="center"/>
    </xf>
    <xf numFmtId="169" fontId="0" fillId="3" borderId="56" xfId="0" applyNumberFormat="1" applyFill="1" applyBorder="1" applyAlignment="1">
      <alignment horizontal="center"/>
    </xf>
    <xf numFmtId="0" fontId="0" fillId="26" borderId="1" xfId="0" applyFill="1" applyBorder="1" applyAlignment="1">
      <alignment horizontal="center"/>
    </xf>
    <xf numFmtId="0" fontId="0" fillId="26" borderId="51" xfId="0" applyFill="1" applyBorder="1" applyAlignment="1">
      <alignment horizontal="center"/>
    </xf>
    <xf numFmtId="183" fontId="0" fillId="26" borderId="51" xfId="0" applyNumberFormat="1" applyFill="1" applyBorder="1" applyAlignment="1">
      <alignment horizontal="center"/>
    </xf>
    <xf numFmtId="0" fontId="0" fillId="24" borderId="57" xfId="0" applyFill="1" applyBorder="1" applyAlignment="1">
      <alignment horizontal="center"/>
    </xf>
    <xf numFmtId="0" fontId="0" fillId="24" borderId="62" xfId="0" applyFill="1" applyBorder="1" applyAlignment="1">
      <alignment horizontal="center"/>
    </xf>
    <xf numFmtId="183" fontId="0" fillId="25" borderId="60" xfId="0" applyNumberFormat="1" applyFill="1" applyBorder="1" applyAlignment="1">
      <alignment horizontal="center"/>
    </xf>
    <xf numFmtId="0" fontId="45" fillId="0" borderId="0" xfId="0" applyFont="1" applyAlignment="1">
      <alignment vertical="center"/>
    </xf>
    <xf numFmtId="0" fontId="46" fillId="0" borderId="0" xfId="2" applyFont="1"/>
    <xf numFmtId="0" fontId="46" fillId="27" borderId="2" xfId="2" applyFont="1" applyFill="1" applyBorder="1" applyAlignment="1" applyProtection="1">
      <alignment horizontal="center"/>
      <protection hidden="1"/>
    </xf>
    <xf numFmtId="177" fontId="47" fillId="5" borderId="2" xfId="2" applyNumberFormat="1" applyFont="1" applyFill="1" applyBorder="1" applyAlignment="1" applyProtection="1">
      <alignment horizontal="center"/>
      <protection hidden="1"/>
    </xf>
    <xf numFmtId="0" fontId="45" fillId="0" borderId="0" xfId="2" applyFont="1"/>
    <xf numFmtId="0" fontId="48" fillId="0" borderId="10" xfId="2" applyFont="1" applyBorder="1" applyAlignment="1">
      <alignment horizontal="right"/>
    </xf>
    <xf numFmtId="0" fontId="46" fillId="0" borderId="10" xfId="2" applyFont="1" applyBorder="1"/>
    <xf numFmtId="0" fontId="49" fillId="0" borderId="10" xfId="2" applyFont="1" applyBorder="1" applyAlignment="1">
      <alignment horizontal="left"/>
    </xf>
    <xf numFmtId="0" fontId="48" fillId="0" borderId="10" xfId="2" applyFont="1" applyBorder="1"/>
    <xf numFmtId="0" fontId="48" fillId="0" borderId="7" xfId="0" applyFont="1" applyBorder="1" applyAlignment="1">
      <alignment horizontal="right" vertical="center"/>
    </xf>
    <xf numFmtId="0" fontId="49" fillId="0" borderId="7" xfId="0" applyFont="1" applyBorder="1" applyAlignment="1">
      <alignment horizontal="right" vertical="center"/>
    </xf>
    <xf numFmtId="166" fontId="0" fillId="0" borderId="7" xfId="0" applyNumberFormat="1" applyBorder="1" applyAlignment="1">
      <alignment horizontal="right" vertical="center"/>
    </xf>
    <xf numFmtId="193" fontId="0" fillId="3" borderId="11" xfId="0" applyNumberFormat="1" applyFill="1" applyBorder="1" applyAlignment="1">
      <alignment horizontal="center"/>
    </xf>
    <xf numFmtId="0" fontId="0" fillId="28" borderId="24" xfId="0" applyFill="1" applyBorder="1" applyAlignment="1">
      <alignment horizontal="center"/>
    </xf>
    <xf numFmtId="0" fontId="0" fillId="29" borderId="26" xfId="0" applyFill="1" applyBorder="1" applyAlignment="1">
      <alignment horizontal="center"/>
    </xf>
    <xf numFmtId="186" fontId="0" fillId="25" borderId="11" xfId="0" applyNumberFormat="1" applyFill="1" applyBorder="1" applyAlignment="1">
      <alignment horizontal="center"/>
    </xf>
    <xf numFmtId="176" fontId="33" fillId="5" borderId="24" xfId="2" applyNumberFormat="1" applyFont="1" applyFill="1" applyBorder="1" applyAlignment="1" applyProtection="1">
      <alignment horizontal="center"/>
      <protection hidden="1"/>
    </xf>
    <xf numFmtId="176" fontId="33" fillId="5" borderId="26" xfId="2" applyNumberFormat="1" applyFont="1" applyFill="1" applyBorder="1" applyAlignment="1" applyProtection="1">
      <alignment horizontal="center"/>
      <protection hidden="1"/>
    </xf>
    <xf numFmtId="176" fontId="33" fillId="5" borderId="25" xfId="2" applyNumberFormat="1" applyFont="1" applyFill="1" applyBorder="1" applyAlignment="1" applyProtection="1">
      <alignment horizontal="center"/>
      <protection hidden="1"/>
    </xf>
    <xf numFmtId="0" fontId="33" fillId="5" borderId="63" xfId="2" applyFont="1" applyFill="1" applyBorder="1" applyAlignment="1">
      <alignment horizontal="center"/>
    </xf>
    <xf numFmtId="0" fontId="33" fillId="5" borderId="20" xfId="2" applyFont="1" applyFill="1" applyBorder="1" applyAlignment="1">
      <alignment horizontal="center"/>
    </xf>
    <xf numFmtId="0" fontId="33" fillId="5" borderId="23" xfId="2" applyFont="1" applyFill="1" applyBorder="1" applyAlignment="1">
      <alignment horizontal="center"/>
    </xf>
    <xf numFmtId="176" fontId="33" fillId="5" borderId="63" xfId="2" applyNumberFormat="1" applyFont="1" applyFill="1" applyBorder="1" applyAlignment="1">
      <alignment horizontal="center"/>
    </xf>
    <xf numFmtId="196" fontId="33" fillId="5" borderId="63" xfId="2" applyNumberFormat="1" applyFont="1" applyFill="1" applyBorder="1" applyAlignment="1">
      <alignment horizontal="center"/>
    </xf>
    <xf numFmtId="196" fontId="33" fillId="5" borderId="20" xfId="2" applyNumberFormat="1" applyFont="1" applyFill="1" applyBorder="1" applyAlignment="1">
      <alignment horizontal="center"/>
    </xf>
    <xf numFmtId="196" fontId="33" fillId="5" borderId="23" xfId="2" applyNumberFormat="1" applyFont="1" applyFill="1" applyBorder="1" applyAlignment="1">
      <alignment horizontal="center"/>
    </xf>
    <xf numFmtId="174" fontId="33" fillId="5" borderId="63" xfId="2" applyNumberFormat="1" applyFont="1" applyFill="1" applyBorder="1" applyAlignment="1">
      <alignment horizontal="center"/>
    </xf>
    <xf numFmtId="174" fontId="33" fillId="5" borderId="20" xfId="2" applyNumberFormat="1" applyFont="1" applyFill="1" applyBorder="1" applyAlignment="1">
      <alignment horizontal="center"/>
    </xf>
    <xf numFmtId="174" fontId="33" fillId="5" borderId="23" xfId="2" applyNumberFormat="1" applyFont="1" applyFill="1" applyBorder="1" applyAlignment="1">
      <alignment horizontal="center"/>
    </xf>
    <xf numFmtId="167" fontId="33" fillId="5" borderId="63" xfId="2" applyNumberFormat="1" applyFont="1" applyFill="1" applyBorder="1" applyAlignment="1">
      <alignment horizontal="center"/>
    </xf>
    <xf numFmtId="167" fontId="33" fillId="5" borderId="20" xfId="2" applyNumberFormat="1" applyFont="1" applyFill="1" applyBorder="1" applyAlignment="1">
      <alignment horizontal="center"/>
    </xf>
    <xf numFmtId="167" fontId="33" fillId="5" borderId="23" xfId="2" applyNumberFormat="1" applyFont="1" applyFill="1" applyBorder="1" applyAlignment="1">
      <alignment horizontal="center"/>
    </xf>
    <xf numFmtId="170" fontId="33" fillId="5" borderId="63" xfId="2" applyNumberFormat="1" applyFont="1" applyFill="1" applyBorder="1" applyAlignment="1">
      <alignment horizontal="center"/>
    </xf>
    <xf numFmtId="170" fontId="33" fillId="5" borderId="20" xfId="2" applyNumberFormat="1" applyFont="1" applyFill="1" applyBorder="1" applyAlignment="1">
      <alignment horizontal="center"/>
    </xf>
    <xf numFmtId="170" fontId="33" fillId="5" borderId="23" xfId="2" applyNumberFormat="1" applyFont="1" applyFill="1" applyBorder="1" applyAlignment="1">
      <alignment horizontal="center"/>
    </xf>
    <xf numFmtId="0" fontId="2" fillId="9" borderId="2" xfId="0" applyFont="1" applyFill="1" applyBorder="1" applyAlignment="1" applyProtection="1">
      <alignment horizontal="center" vertical="center"/>
      <protection hidden="1"/>
    </xf>
    <xf numFmtId="0" fontId="0" fillId="9" borderId="2" xfId="0" applyFill="1" applyBorder="1" applyAlignment="1" applyProtection="1">
      <alignment horizontal="center" vertical="center"/>
      <protection hidden="1"/>
    </xf>
    <xf numFmtId="0" fontId="0" fillId="0" borderId="22" xfId="0" applyBorder="1" applyAlignment="1">
      <alignment horizontal="center" vertical="center"/>
    </xf>
    <xf numFmtId="0" fontId="8" fillId="0" borderId="33" xfId="0" applyFont="1" applyBorder="1" applyAlignment="1">
      <alignment horizontal="center" vertical="center"/>
    </xf>
    <xf numFmtId="0" fontId="8" fillId="0" borderId="32" xfId="0" applyFont="1" applyBorder="1" applyAlignment="1">
      <alignment horizontal="center" vertical="center"/>
    </xf>
    <xf numFmtId="187" fontId="2" fillId="7" borderId="2" xfId="0" applyNumberFormat="1" applyFont="1" applyFill="1" applyBorder="1" applyAlignment="1">
      <alignment horizontal="center" vertical="center"/>
    </xf>
    <xf numFmtId="197" fontId="33" fillId="5" borderId="24" xfId="2" applyNumberFormat="1" applyFont="1" applyFill="1" applyBorder="1" applyAlignment="1">
      <alignment horizontal="center"/>
    </xf>
    <xf numFmtId="197" fontId="33" fillId="5" borderId="26" xfId="2" applyNumberFormat="1" applyFont="1" applyFill="1" applyBorder="1" applyAlignment="1">
      <alignment horizontal="center"/>
    </xf>
    <xf numFmtId="197" fontId="33" fillId="5" borderId="25" xfId="2" applyNumberFormat="1" applyFont="1" applyFill="1" applyBorder="1" applyAlignment="1">
      <alignment horizontal="center"/>
    </xf>
    <xf numFmtId="0" fontId="45" fillId="0" borderId="0" xfId="2" applyFont="1" applyAlignment="1" applyProtection="1">
      <alignment horizontal="right"/>
      <protection hidden="1"/>
    </xf>
    <xf numFmtId="0" fontId="2" fillId="0" borderId="31" xfId="0" applyFont="1" applyBorder="1"/>
    <xf numFmtId="0" fontId="2" fillId="0" borderId="32" xfId="0" applyFont="1" applyBorder="1"/>
    <xf numFmtId="0" fontId="2" fillId="0" borderId="21" xfId="0" applyFont="1" applyBorder="1"/>
    <xf numFmtId="0" fontId="2" fillId="0" borderId="19" xfId="0" applyFont="1" applyBorder="1" applyAlignment="1">
      <alignment horizontal="left"/>
    </xf>
    <xf numFmtId="14" fontId="2" fillId="0" borderId="23" xfId="0" applyNumberFormat="1" applyFont="1" applyBorder="1" applyAlignment="1">
      <alignment horizontal="center"/>
    </xf>
    <xf numFmtId="0" fontId="15" fillId="0" borderId="0" xfId="0" applyFont="1" applyAlignment="1">
      <alignment horizontal="right"/>
    </xf>
    <xf numFmtId="0" fontId="42" fillId="0" borderId="0" xfId="0" applyFont="1" applyAlignment="1">
      <alignment horizontal="center"/>
    </xf>
    <xf numFmtId="0" fontId="15" fillId="0" borderId="0" xfId="0" applyFont="1" applyAlignment="1">
      <alignment horizontal="center"/>
    </xf>
    <xf numFmtId="0" fontId="2" fillId="0" borderId="19" xfId="0" applyFont="1" applyBorder="1"/>
    <xf numFmtId="0" fontId="2" fillId="0" borderId="34" xfId="0" applyFont="1" applyBorder="1"/>
    <xf numFmtId="0" fontId="2" fillId="0" borderId="14" xfId="0" applyFont="1" applyBorder="1" applyAlignment="1">
      <alignment horizontal="center"/>
    </xf>
    <xf numFmtId="0" fontId="15" fillId="0" borderId="2" xfId="0" applyFont="1" applyBorder="1" applyAlignment="1">
      <alignment horizontal="center"/>
    </xf>
    <xf numFmtId="0" fontId="15" fillId="0" borderId="64" xfId="0" applyFont="1" applyBorder="1" applyAlignment="1">
      <alignment horizontal="center"/>
    </xf>
    <xf numFmtId="201" fontId="15" fillId="0" borderId="0" xfId="0" applyNumberFormat="1" applyFont="1"/>
    <xf numFmtId="191" fontId="0" fillId="0" borderId="0" xfId="0" applyNumberFormat="1"/>
    <xf numFmtId="192" fontId="0" fillId="0" borderId="0" xfId="0" applyNumberFormat="1"/>
    <xf numFmtId="0" fontId="43" fillId="0" borderId="0" xfId="0" applyFont="1"/>
    <xf numFmtId="192" fontId="2" fillId="30" borderId="32" xfId="0" applyNumberFormat="1" applyFont="1" applyFill="1" applyBorder="1" applyProtection="1">
      <protection locked="0"/>
    </xf>
    <xf numFmtId="198" fontId="2" fillId="0" borderId="23" xfId="0" applyNumberFormat="1" applyFont="1" applyBorder="1"/>
    <xf numFmtId="0" fontId="42" fillId="0" borderId="0" xfId="0" applyFont="1"/>
    <xf numFmtId="3" fontId="2" fillId="30" borderId="32" xfId="0" applyNumberFormat="1" applyFont="1" applyFill="1" applyBorder="1" applyAlignment="1">
      <alignment horizontal="center"/>
    </xf>
    <xf numFmtId="191" fontId="2" fillId="0" borderId="33" xfId="0" applyNumberFormat="1" applyFont="1" applyBorder="1" applyAlignment="1">
      <alignment horizontal="center"/>
    </xf>
    <xf numFmtId="192" fontId="2" fillId="0" borderId="32" xfId="0" applyNumberFormat="1" applyFont="1" applyBorder="1" applyAlignment="1">
      <alignment horizontal="center"/>
    </xf>
    <xf numFmtId="191" fontId="2" fillId="0" borderId="22" xfId="0" applyNumberFormat="1" applyFont="1" applyBorder="1" applyAlignment="1">
      <alignment horizontal="center"/>
    </xf>
    <xf numFmtId="192" fontId="2" fillId="0" borderId="23" xfId="0" applyNumberFormat="1" applyFont="1" applyBorder="1" applyAlignment="1">
      <alignment horizontal="center"/>
    </xf>
    <xf numFmtId="192" fontId="2" fillId="30" borderId="32" xfId="0" applyNumberFormat="1" applyFont="1" applyFill="1" applyBorder="1" applyAlignment="1" applyProtection="1">
      <alignment horizontal="center"/>
      <protection locked="0"/>
    </xf>
    <xf numFmtId="202" fontId="2" fillId="0" borderId="23" xfId="0" applyNumberFormat="1" applyFont="1" applyBorder="1" applyAlignment="1">
      <alignment horizontal="center"/>
    </xf>
    <xf numFmtId="201" fontId="2" fillId="0" borderId="23" xfId="0" applyNumberFormat="1" applyFont="1" applyBorder="1" applyAlignment="1">
      <alignment horizontal="center"/>
    </xf>
    <xf numFmtId="199" fontId="2" fillId="0" borderId="33" xfId="0" applyNumberFormat="1" applyFont="1" applyBorder="1" applyAlignment="1">
      <alignment horizontal="center"/>
    </xf>
    <xf numFmtId="200" fontId="2" fillId="0" borderId="32" xfId="0" applyNumberFormat="1" applyFont="1" applyBorder="1" applyAlignment="1">
      <alignment horizontal="center"/>
    </xf>
    <xf numFmtId="191" fontId="2" fillId="0" borderId="0" xfId="0" applyNumberFormat="1" applyFont="1" applyAlignment="1">
      <alignment horizontal="center"/>
    </xf>
    <xf numFmtId="192" fontId="2" fillId="0" borderId="20" xfId="0" applyNumberFormat="1" applyFont="1" applyBorder="1" applyAlignment="1">
      <alignment horizontal="center"/>
    </xf>
    <xf numFmtId="0" fontId="15" fillId="0" borderId="10" xfId="0" applyFont="1" applyBorder="1"/>
    <xf numFmtId="0" fontId="0" fillId="29" borderId="20" xfId="0" applyFill="1" applyBorder="1" applyAlignment="1">
      <alignment horizontal="center"/>
    </xf>
    <xf numFmtId="0" fontId="0" fillId="31" borderId="65" xfId="0" applyFill="1" applyBorder="1" applyAlignment="1">
      <alignment horizontal="center"/>
    </xf>
    <xf numFmtId="186" fontId="0" fillId="24" borderId="11" xfId="0" applyNumberFormat="1" applyFill="1" applyBorder="1" applyAlignment="1">
      <alignment horizontal="center"/>
    </xf>
    <xf numFmtId="203" fontId="0" fillId="24" borderId="11" xfId="0" applyNumberFormat="1" applyFill="1" applyBorder="1" applyAlignment="1">
      <alignment horizontal="center"/>
    </xf>
    <xf numFmtId="0" fontId="2" fillId="11" borderId="66" xfId="0" applyFont="1" applyFill="1" applyBorder="1" applyAlignment="1" applyProtection="1">
      <alignment horizontal="center" vertical="center"/>
      <protection hidden="1"/>
    </xf>
    <xf numFmtId="164" fontId="2" fillId="17" borderId="24" xfId="0" applyNumberFormat="1" applyFont="1" applyFill="1" applyBorder="1" applyAlignment="1">
      <alignment horizontal="center" vertical="center"/>
    </xf>
    <xf numFmtId="0" fontId="2" fillId="11" borderId="67" xfId="0" applyFont="1" applyFill="1" applyBorder="1" applyAlignment="1" applyProtection="1">
      <alignment horizontal="center" vertical="center"/>
      <protection hidden="1"/>
    </xf>
    <xf numFmtId="0" fontId="2" fillId="28" borderId="2" xfId="0" applyFont="1" applyFill="1" applyBorder="1" applyAlignment="1">
      <alignment horizontal="center" vertical="center"/>
    </xf>
    <xf numFmtId="0" fontId="0" fillId="30" borderId="0" xfId="0" applyFill="1"/>
    <xf numFmtId="0" fontId="0" fillId="30" borderId="0" xfId="0" applyFill="1" applyAlignment="1">
      <alignment horizontal="center"/>
    </xf>
    <xf numFmtId="0" fontId="0" fillId="0" borderId="0" xfId="0" applyAlignment="1" applyProtection="1">
      <alignment horizontal="center"/>
      <protection locked="0"/>
    </xf>
    <xf numFmtId="0" fontId="0" fillId="29" borderId="25" xfId="0" applyFill="1" applyBorder="1" applyAlignment="1">
      <alignment horizontal="center"/>
    </xf>
    <xf numFmtId="0" fontId="1" fillId="0" borderId="0" xfId="2" applyProtection="1">
      <protection locked="0"/>
    </xf>
    <xf numFmtId="0" fontId="1" fillId="0" borderId="0" xfId="2"/>
    <xf numFmtId="0" fontId="36" fillId="0" borderId="0" xfId="2" applyFont="1"/>
    <xf numFmtId="186" fontId="0" fillId="0" borderId="0" xfId="0" applyNumberFormat="1" applyAlignment="1">
      <alignment vertical="center"/>
    </xf>
    <xf numFmtId="0" fontId="0" fillId="0" borderId="0" xfId="0" quotePrefix="1" applyAlignment="1">
      <alignment horizontal="center" vertical="center"/>
    </xf>
    <xf numFmtId="170" fontId="0" fillId="0" borderId="0" xfId="0" applyNumberFormat="1" applyAlignment="1">
      <alignment horizontal="right" vertical="center"/>
    </xf>
    <xf numFmtId="164" fontId="2" fillId="18" borderId="24" xfId="0" applyNumberFormat="1" applyFont="1" applyFill="1" applyBorder="1" applyAlignment="1" applyProtection="1">
      <alignment horizontal="center" vertical="center"/>
      <protection locked="0"/>
    </xf>
    <xf numFmtId="0" fontId="10" fillId="0" borderId="0" xfId="1" applyAlignment="1" applyProtection="1">
      <alignment horizontal="left"/>
      <protection hidden="1"/>
    </xf>
    <xf numFmtId="166" fontId="50" fillId="0" borderId="0" xfId="0" applyNumberFormat="1" applyFont="1" applyAlignment="1">
      <alignment vertical="center"/>
    </xf>
    <xf numFmtId="0" fontId="2" fillId="0" borderId="0" xfId="0" applyFont="1" applyAlignment="1" applyProtection="1">
      <alignment horizontal="center" vertical="center"/>
      <protection hidden="1"/>
    </xf>
    <xf numFmtId="186" fontId="2" fillId="0" borderId="0" xfId="0" applyNumberFormat="1" applyFont="1" applyAlignment="1">
      <alignment horizontal="center" vertical="center"/>
    </xf>
    <xf numFmtId="204" fontId="2" fillId="32" borderId="2" xfId="0" applyNumberFormat="1" applyFont="1" applyFill="1" applyBorder="1" applyAlignment="1">
      <alignment horizontal="center" vertical="center"/>
    </xf>
    <xf numFmtId="175" fontId="0" fillId="7" borderId="46" xfId="0" applyNumberFormat="1" applyFill="1" applyBorder="1" applyAlignment="1">
      <alignment horizontal="center" vertical="center"/>
    </xf>
    <xf numFmtId="175" fontId="2" fillId="7" borderId="2" xfId="0" applyNumberFormat="1" applyFont="1" applyFill="1" applyBorder="1" applyAlignment="1">
      <alignment horizontal="center" vertical="center"/>
    </xf>
    <xf numFmtId="166" fontId="2" fillId="0" borderId="0" xfId="0" applyNumberFormat="1" applyFont="1" applyAlignment="1">
      <alignment horizontal="right" vertical="center"/>
    </xf>
    <xf numFmtId="0" fontId="2" fillId="9" borderId="46"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protection hidden="1"/>
    </xf>
    <xf numFmtId="2" fontId="0" fillId="7" borderId="68" xfId="0" applyNumberFormat="1" applyFill="1" applyBorder="1" applyAlignment="1">
      <alignment horizontal="center" vertical="center"/>
    </xf>
    <xf numFmtId="187" fontId="2" fillId="7" borderId="68" xfId="0" applyNumberFormat="1" applyFont="1" applyFill="1" applyBorder="1" applyAlignment="1">
      <alignment horizontal="center" vertical="center"/>
    </xf>
    <xf numFmtId="165" fontId="0" fillId="7" borderId="69" xfId="0" applyNumberFormat="1" applyFill="1" applyBorder="1" applyAlignment="1">
      <alignment horizontal="center" vertical="center"/>
    </xf>
    <xf numFmtId="188" fontId="2" fillId="7" borderId="70" xfId="0" applyNumberFormat="1" applyFont="1" applyFill="1" applyBorder="1" applyAlignment="1">
      <alignment horizontal="center" vertical="center"/>
    </xf>
    <xf numFmtId="165" fontId="0" fillId="7" borderId="71" xfId="0" applyNumberFormat="1" applyFill="1" applyBorder="1" applyAlignment="1">
      <alignment horizontal="center" vertical="center"/>
    </xf>
    <xf numFmtId="165" fontId="0" fillId="7" borderId="70" xfId="0" applyNumberFormat="1" applyFill="1" applyBorder="1" applyAlignment="1">
      <alignment horizontal="center" vertical="center"/>
    </xf>
    <xf numFmtId="186" fontId="0" fillId="7" borderId="43" xfId="0" applyNumberFormat="1" applyFill="1" applyBorder="1" applyAlignment="1">
      <alignment horizontal="center" vertical="center"/>
    </xf>
    <xf numFmtId="165" fontId="0" fillId="7" borderId="72" xfId="0" applyNumberFormat="1" applyFill="1" applyBorder="1" applyAlignment="1">
      <alignment horizontal="center" vertical="center"/>
    </xf>
    <xf numFmtId="166" fontId="2" fillId="27" borderId="14" xfId="0" applyNumberFormat="1" applyFont="1" applyFill="1" applyBorder="1" applyAlignment="1">
      <alignment horizontal="center" vertical="center"/>
    </xf>
    <xf numFmtId="0" fontId="0" fillId="32" borderId="2" xfId="0" applyFill="1" applyBorder="1" applyAlignment="1">
      <alignment vertical="center"/>
    </xf>
    <xf numFmtId="187" fontId="0" fillId="7" borderId="73" xfId="0" applyNumberFormat="1" applyFill="1" applyBorder="1" applyAlignment="1">
      <alignment horizontal="center" vertical="center"/>
    </xf>
    <xf numFmtId="205" fontId="0" fillId="32" borderId="2" xfId="0" applyNumberFormat="1" applyFill="1" applyBorder="1" applyAlignment="1">
      <alignment horizontal="center" vertical="center"/>
    </xf>
    <xf numFmtId="206" fontId="15" fillId="0" borderId="0" xfId="2" applyNumberFormat="1" applyFont="1" applyProtection="1">
      <protection hidden="1"/>
    </xf>
    <xf numFmtId="175" fontId="2" fillId="0" borderId="0" xfId="2" applyNumberFormat="1" applyFont="1" applyProtection="1">
      <protection locked="0"/>
    </xf>
    <xf numFmtId="186" fontId="2" fillId="30" borderId="2" xfId="0" applyNumberFormat="1" applyFont="1" applyFill="1" applyBorder="1" applyAlignment="1">
      <alignment horizontal="center" vertical="center"/>
    </xf>
    <xf numFmtId="177" fontId="2" fillId="0" borderId="0" xfId="2" applyNumberFormat="1" applyFont="1"/>
    <xf numFmtId="170" fontId="2" fillId="33" borderId="25" xfId="0" applyNumberFormat="1" applyFont="1" applyFill="1" applyBorder="1" applyAlignment="1" applyProtection="1">
      <alignment horizontal="center" vertical="center"/>
      <protection locked="0"/>
    </xf>
    <xf numFmtId="165" fontId="2" fillId="5" borderId="34" xfId="2" applyNumberFormat="1" applyFont="1" applyFill="1" applyBorder="1" applyAlignment="1">
      <alignment horizontal="center"/>
    </xf>
    <xf numFmtId="178" fontId="14" fillId="5" borderId="34" xfId="2" applyNumberFormat="1" applyFont="1" applyFill="1" applyBorder="1"/>
    <xf numFmtId="179" fontId="32" fillId="5" borderId="24" xfId="2" applyNumberFormat="1" applyFont="1" applyFill="1" applyBorder="1" applyAlignment="1" applyProtection="1">
      <alignment horizontal="center" vertical="center"/>
      <protection hidden="1"/>
    </xf>
    <xf numFmtId="0" fontId="32" fillId="5" borderId="24" xfId="2" applyFont="1" applyFill="1" applyBorder="1" applyAlignment="1" applyProtection="1">
      <alignment horizontal="center" vertical="center"/>
      <protection hidden="1"/>
    </xf>
    <xf numFmtId="2" fontId="15" fillId="0" borderId="19" xfId="2" applyNumberFormat="1" applyFont="1" applyBorder="1" applyAlignment="1" applyProtection="1">
      <alignment horizontal="center"/>
      <protection hidden="1"/>
    </xf>
    <xf numFmtId="2" fontId="15" fillId="0" borderId="20" xfId="2" applyNumberFormat="1" applyFont="1" applyBorder="1" applyAlignment="1" applyProtection="1">
      <alignment horizontal="center"/>
      <protection hidden="1"/>
    </xf>
    <xf numFmtId="2" fontId="15" fillId="0" borderId="0" xfId="2" applyNumberFormat="1" applyFont="1" applyAlignment="1" applyProtection="1">
      <alignment horizontal="center"/>
      <protection hidden="1"/>
    </xf>
    <xf numFmtId="0" fontId="2" fillId="6" borderId="24" xfId="2" applyFont="1" applyFill="1" applyBorder="1" applyAlignment="1">
      <alignment vertical="center"/>
    </xf>
    <xf numFmtId="0" fontId="2" fillId="6" borderId="24" xfId="2" applyFont="1" applyFill="1" applyBorder="1" applyAlignment="1">
      <alignment horizontal="center" vertical="center"/>
    </xf>
    <xf numFmtId="0" fontId="0" fillId="7" borderId="74" xfId="0" applyFill="1" applyBorder="1" applyAlignment="1">
      <alignment horizontal="center" vertical="center"/>
    </xf>
    <xf numFmtId="175" fontId="2" fillId="0" borderId="0" xfId="0" applyNumberFormat="1" applyFont="1" applyAlignment="1">
      <alignment horizontal="center" vertical="center"/>
    </xf>
    <xf numFmtId="0" fontId="2" fillId="0" borderId="22" xfId="0" applyFont="1" applyBorder="1" applyAlignment="1">
      <alignment horizontal="center" vertical="center"/>
    </xf>
    <xf numFmtId="182" fontId="2" fillId="0" borderId="0" xfId="0" applyNumberFormat="1" applyFont="1" applyAlignment="1">
      <alignment horizontal="center"/>
    </xf>
    <xf numFmtId="14" fontId="2" fillId="0" borderId="0" xfId="0" applyNumberFormat="1" applyFont="1" applyAlignment="1">
      <alignment horizontal="center"/>
    </xf>
    <xf numFmtId="0" fontId="0" fillId="0" borderId="64" xfId="0" applyBorder="1" applyAlignment="1">
      <alignment horizontal="center"/>
    </xf>
    <xf numFmtId="0" fontId="0" fillId="0" borderId="2" xfId="0" applyBorder="1" applyAlignment="1">
      <alignment horizontal="center"/>
    </xf>
    <xf numFmtId="0" fontId="2" fillId="10" borderId="2" xfId="2" applyFont="1" applyFill="1" applyBorder="1" applyAlignment="1" applyProtection="1">
      <alignment horizontal="left"/>
      <protection hidden="1"/>
    </xf>
    <xf numFmtId="0" fontId="2" fillId="10" borderId="26" xfId="2" applyFont="1" applyFill="1" applyBorder="1" applyAlignment="1" applyProtection="1">
      <alignment horizontal="left"/>
      <protection hidden="1"/>
    </xf>
    <xf numFmtId="0" fontId="2" fillId="0" borderId="2" xfId="0" applyFont="1" applyBorder="1" applyAlignment="1">
      <alignment horizontal="center"/>
    </xf>
    <xf numFmtId="1" fontId="2" fillId="0" borderId="2" xfId="0" applyNumberFormat="1" applyFont="1" applyBorder="1" applyAlignment="1">
      <alignment horizontal="center"/>
    </xf>
    <xf numFmtId="0" fontId="2" fillId="0" borderId="2" xfId="0" applyFont="1" applyBorder="1" applyAlignment="1">
      <alignment horizontal="center" vertical="center"/>
    </xf>
    <xf numFmtId="175" fontId="2" fillId="0" borderId="2" xfId="0" applyNumberFormat="1" applyFont="1" applyBorder="1" applyAlignment="1">
      <alignment horizontal="center" vertical="center"/>
    </xf>
    <xf numFmtId="175" fontId="2" fillId="0" borderId="2" xfId="0" applyNumberFormat="1" applyFont="1" applyBorder="1" applyAlignment="1">
      <alignment horizontal="right" vertical="center"/>
    </xf>
    <xf numFmtId="0" fontId="0" fillId="0" borderId="20" xfId="0" applyBorder="1" applyAlignment="1">
      <alignment horizontal="center"/>
    </xf>
    <xf numFmtId="0" fontId="0" fillId="0" borderId="0" xfId="0" applyAlignment="1">
      <alignment horizontal="left" vertical="top"/>
    </xf>
    <xf numFmtId="0" fontId="0" fillId="3" borderId="4" xfId="0" applyFill="1" applyBorder="1" applyAlignment="1">
      <alignment horizontal="center"/>
    </xf>
    <xf numFmtId="0" fontId="51" fillId="11" borderId="67" xfId="0" applyFont="1" applyFill="1" applyBorder="1" applyAlignment="1" applyProtection="1">
      <alignment horizontal="center" vertical="center"/>
      <protection hidden="1"/>
    </xf>
    <xf numFmtId="0" fontId="0" fillId="34" borderId="2" xfId="0" applyFill="1" applyBorder="1" applyAlignment="1">
      <alignment vertical="center"/>
    </xf>
    <xf numFmtId="1" fontId="30" fillId="14" borderId="0" xfId="2" applyNumberFormat="1" applyFont="1" applyFill="1" applyAlignment="1">
      <alignment horizontal="center"/>
    </xf>
    <xf numFmtId="0" fontId="35" fillId="4" borderId="34" xfId="2" applyFont="1" applyFill="1" applyBorder="1" applyAlignment="1" applyProtection="1">
      <alignment horizontal="right" vertical="center"/>
      <protection locked="0"/>
    </xf>
    <xf numFmtId="0" fontId="35" fillId="30" borderId="14" xfId="2" applyFont="1" applyFill="1" applyBorder="1" applyAlignment="1" applyProtection="1">
      <alignment horizontal="left" vertical="center"/>
      <protection locked="0"/>
    </xf>
    <xf numFmtId="0" fontId="49" fillId="0" borderId="0" xfId="2" applyFont="1" applyProtection="1">
      <protection hidden="1"/>
    </xf>
    <xf numFmtId="0" fontId="45" fillId="0" borderId="0" xfId="2" applyFont="1" applyAlignment="1">
      <alignment horizontal="center"/>
    </xf>
    <xf numFmtId="0" fontId="2" fillId="6" borderId="2" xfId="2" applyFont="1" applyFill="1" applyBorder="1" applyAlignment="1" applyProtection="1">
      <alignment horizontal="center"/>
      <protection hidden="1"/>
    </xf>
    <xf numFmtId="0" fontId="2" fillId="10" borderId="75" xfId="2" applyFont="1" applyFill="1" applyBorder="1" applyAlignment="1" applyProtection="1">
      <alignment horizontal="center"/>
      <protection hidden="1"/>
    </xf>
    <xf numFmtId="0" fontId="2" fillId="10" borderId="76" xfId="2" applyFont="1" applyFill="1" applyBorder="1" applyAlignment="1" applyProtection="1">
      <alignment horizontal="center"/>
      <protection hidden="1"/>
    </xf>
    <xf numFmtId="0" fontId="45" fillId="4" borderId="25" xfId="2" applyFont="1" applyFill="1" applyBorder="1" applyAlignment="1" applyProtection="1">
      <alignment horizontal="center"/>
      <protection locked="0"/>
    </xf>
    <xf numFmtId="0" fontId="45" fillId="4" borderId="77" xfId="2" applyFont="1" applyFill="1" applyBorder="1" applyAlignment="1" applyProtection="1">
      <alignment horizontal="center"/>
      <protection locked="0"/>
    </xf>
    <xf numFmtId="165" fontId="33" fillId="5" borderId="2" xfId="2" applyNumberFormat="1" applyFont="1" applyFill="1" applyBorder="1" applyAlignment="1">
      <alignment horizontal="center"/>
    </xf>
    <xf numFmtId="178" fontId="33" fillId="5" borderId="34" xfId="2" applyNumberFormat="1" applyFont="1" applyFill="1" applyBorder="1" applyAlignment="1">
      <alignment horizontal="center"/>
    </xf>
    <xf numFmtId="178" fontId="33" fillId="5" borderId="14" xfId="2" applyNumberFormat="1" applyFont="1" applyFill="1" applyBorder="1" applyAlignment="1">
      <alignment horizontal="center"/>
    </xf>
    <xf numFmtId="165" fontId="33" fillId="5" borderId="34" xfId="2" applyNumberFormat="1" applyFont="1" applyFill="1" applyBorder="1" applyAlignment="1">
      <alignment horizontal="center"/>
    </xf>
    <xf numFmtId="165" fontId="33" fillId="5" borderId="14" xfId="2" applyNumberFormat="1" applyFont="1" applyFill="1" applyBorder="1" applyAlignment="1">
      <alignment horizontal="center"/>
    </xf>
    <xf numFmtId="0" fontId="2" fillId="10" borderId="78" xfId="2" applyFont="1" applyFill="1" applyBorder="1" applyAlignment="1" applyProtection="1">
      <alignment horizontal="center"/>
      <protection hidden="1"/>
    </xf>
    <xf numFmtId="0" fontId="2" fillId="10" borderId="79" xfId="2" applyFont="1" applyFill="1" applyBorder="1" applyAlignment="1" applyProtection="1">
      <alignment horizontal="center"/>
      <protection hidden="1"/>
    </xf>
    <xf numFmtId="0" fontId="2" fillId="0" borderId="0" xfId="2" applyFont="1" applyAlignment="1">
      <alignment horizontal="center"/>
    </xf>
    <xf numFmtId="177" fontId="2" fillId="4" borderId="34" xfId="2" applyNumberFormat="1" applyFont="1" applyFill="1" applyBorder="1" applyAlignment="1" applyProtection="1">
      <alignment horizontal="center"/>
      <protection locked="0"/>
    </xf>
    <xf numFmtId="177" fontId="2" fillId="4" borderId="14" xfId="2" applyNumberFormat="1" applyFont="1" applyFill="1" applyBorder="1" applyAlignment="1" applyProtection="1">
      <alignment horizontal="center"/>
      <protection locked="0"/>
    </xf>
    <xf numFmtId="0" fontId="35" fillId="4" borderId="25" xfId="2" applyFont="1" applyFill="1" applyBorder="1" applyAlignment="1" applyProtection="1">
      <alignment horizontal="center" vertical="center"/>
      <protection locked="0"/>
    </xf>
    <xf numFmtId="0" fontId="35" fillId="4" borderId="2" xfId="2" applyFont="1" applyFill="1" applyBorder="1" applyAlignment="1" applyProtection="1">
      <alignment horizontal="center" vertical="center"/>
      <protection locked="0"/>
    </xf>
    <xf numFmtId="0" fontId="3" fillId="19" borderId="0" xfId="2" applyFont="1" applyFill="1" applyAlignment="1">
      <alignment horizontal="center"/>
    </xf>
    <xf numFmtId="0" fontId="2" fillId="0" borderId="0" xfId="2" applyFont="1" applyAlignment="1" applyProtection="1">
      <alignment horizontal="center"/>
      <protection hidden="1"/>
    </xf>
    <xf numFmtId="178" fontId="33" fillId="5" borderId="2" xfId="2" applyNumberFormat="1" applyFont="1" applyFill="1" applyBorder="1" applyAlignment="1">
      <alignment horizontal="center"/>
    </xf>
    <xf numFmtId="0" fontId="2" fillId="10" borderId="80" xfId="2" applyFont="1" applyFill="1" applyBorder="1" applyAlignment="1" applyProtection="1">
      <alignment horizontal="center"/>
      <protection hidden="1"/>
    </xf>
    <xf numFmtId="0" fontId="2" fillId="10" borderId="81" xfId="2" applyFont="1" applyFill="1" applyBorder="1" applyAlignment="1" applyProtection="1">
      <alignment horizontal="center"/>
      <protection hidden="1"/>
    </xf>
    <xf numFmtId="0" fontId="2" fillId="4" borderId="34" xfId="2" applyFont="1" applyFill="1" applyBorder="1" applyAlignment="1" applyProtection="1">
      <alignment horizontal="center"/>
      <protection locked="0"/>
    </xf>
    <xf numFmtId="0" fontId="2" fillId="4" borderId="82" xfId="2" applyFont="1" applyFill="1" applyBorder="1" applyAlignment="1" applyProtection="1">
      <alignment horizontal="center"/>
      <protection locked="0"/>
    </xf>
    <xf numFmtId="0" fontId="2" fillId="10" borderId="34" xfId="2" applyFont="1" applyFill="1" applyBorder="1" applyAlignment="1" applyProtection="1">
      <alignment horizontal="center"/>
      <protection hidden="1"/>
    </xf>
    <xf numFmtId="0" fontId="2" fillId="10" borderId="14" xfId="2" applyFont="1" applyFill="1" applyBorder="1" applyAlignment="1" applyProtection="1">
      <alignment horizontal="center"/>
      <protection hidden="1"/>
    </xf>
    <xf numFmtId="176" fontId="33" fillId="5" borderId="34" xfId="2" applyNumberFormat="1" applyFont="1" applyFill="1" applyBorder="1" applyAlignment="1">
      <alignment horizontal="center"/>
    </xf>
    <xf numFmtId="176" fontId="33" fillId="5" borderId="14" xfId="2" applyNumberFormat="1" applyFont="1" applyFill="1" applyBorder="1" applyAlignment="1">
      <alignment horizontal="center"/>
    </xf>
    <xf numFmtId="178" fontId="34" fillId="5" borderId="34" xfId="2" applyNumberFormat="1" applyFont="1" applyFill="1" applyBorder="1" applyAlignment="1">
      <alignment horizontal="center"/>
    </xf>
    <xf numFmtId="178" fontId="34" fillId="5" borderId="14" xfId="2" applyNumberFormat="1" applyFont="1" applyFill="1" applyBorder="1" applyAlignment="1">
      <alignment horizontal="center"/>
    </xf>
    <xf numFmtId="0" fontId="33" fillId="6" borderId="34" xfId="2" applyFont="1" applyFill="1" applyBorder="1" applyAlignment="1">
      <alignment horizontal="center"/>
    </xf>
    <xf numFmtId="0" fontId="33" fillId="6" borderId="14" xfId="2" applyFont="1" applyFill="1" applyBorder="1" applyAlignment="1">
      <alignment horizontal="center"/>
    </xf>
    <xf numFmtId="20" fontId="2" fillId="4" borderId="34" xfId="2" applyNumberFormat="1" applyFont="1" applyFill="1" applyBorder="1" applyAlignment="1" applyProtection="1">
      <alignment horizontal="center"/>
      <protection locked="0"/>
    </xf>
    <xf numFmtId="20" fontId="2" fillId="4" borderId="82" xfId="2" applyNumberFormat="1" applyFont="1" applyFill="1" applyBorder="1" applyAlignment="1" applyProtection="1">
      <alignment horizontal="center"/>
      <protection locked="0"/>
    </xf>
    <xf numFmtId="177" fontId="2" fillId="4" borderId="2" xfId="2" applyNumberFormat="1" applyFont="1" applyFill="1" applyBorder="1" applyAlignment="1" applyProtection="1">
      <alignment horizontal="center"/>
      <protection locked="0"/>
    </xf>
    <xf numFmtId="0" fontId="45" fillId="0" borderId="83" xfId="2" applyFont="1" applyBorder="1" applyAlignment="1">
      <alignment horizontal="center"/>
    </xf>
    <xf numFmtId="0" fontId="2" fillId="4" borderId="21" xfId="2" applyFont="1" applyFill="1" applyBorder="1" applyAlignment="1" applyProtection="1">
      <alignment horizontal="center"/>
      <protection locked="0"/>
    </xf>
    <xf numFmtId="0" fontId="2" fillId="4" borderId="84" xfId="2" applyFont="1" applyFill="1" applyBorder="1" applyAlignment="1" applyProtection="1">
      <alignment horizontal="center"/>
      <protection locked="0"/>
    </xf>
    <xf numFmtId="0" fontId="17" fillId="5" borderId="31" xfId="2" applyFont="1" applyFill="1" applyBorder="1" applyAlignment="1">
      <alignment horizontal="center" vertical="center"/>
    </xf>
    <xf numFmtId="0" fontId="17" fillId="5" borderId="32" xfId="2" applyFont="1" applyFill="1" applyBorder="1" applyAlignment="1">
      <alignment horizontal="center" vertical="center"/>
    </xf>
    <xf numFmtId="0" fontId="17" fillId="5" borderId="21" xfId="2" applyFont="1" applyFill="1" applyBorder="1" applyAlignment="1">
      <alignment horizontal="center" vertical="center"/>
    </xf>
    <xf numFmtId="0" fontId="17" fillId="5" borderId="23" xfId="2" applyFont="1" applyFill="1" applyBorder="1" applyAlignment="1">
      <alignment horizontal="center" vertical="center"/>
    </xf>
    <xf numFmtId="0" fontId="2" fillId="4" borderId="2" xfId="2" applyFont="1" applyFill="1" applyBorder="1" applyAlignment="1" applyProtection="1">
      <alignment horizontal="center"/>
      <protection locked="0"/>
    </xf>
    <xf numFmtId="0" fontId="2" fillId="4" borderId="8" xfId="2" applyFont="1" applyFill="1" applyBorder="1" applyAlignment="1" applyProtection="1">
      <alignment horizontal="center"/>
      <protection locked="0"/>
    </xf>
    <xf numFmtId="177" fontId="33" fillId="5" borderId="34" xfId="2" applyNumberFormat="1" applyFont="1" applyFill="1" applyBorder="1" applyAlignment="1" applyProtection="1">
      <alignment horizontal="center"/>
      <protection hidden="1"/>
    </xf>
    <xf numFmtId="177" fontId="33" fillId="5" borderId="14" xfId="2" applyNumberFormat="1" applyFont="1" applyFill="1" applyBorder="1" applyAlignment="1" applyProtection="1">
      <alignment horizontal="center"/>
      <protection hidden="1"/>
    </xf>
    <xf numFmtId="176" fontId="33" fillId="5" borderId="34" xfId="2" applyNumberFormat="1" applyFont="1" applyFill="1" applyBorder="1" applyAlignment="1" applyProtection="1">
      <alignment horizontal="center"/>
      <protection hidden="1"/>
    </xf>
    <xf numFmtId="176" fontId="33" fillId="5" borderId="14" xfId="2" applyNumberFormat="1" applyFont="1" applyFill="1" applyBorder="1" applyAlignment="1" applyProtection="1">
      <alignment horizontal="center"/>
      <protection hidden="1"/>
    </xf>
    <xf numFmtId="165" fontId="2" fillId="5" borderId="34" xfId="2" applyNumberFormat="1" applyFont="1" applyFill="1" applyBorder="1" applyAlignment="1">
      <alignment horizontal="center"/>
    </xf>
    <xf numFmtId="165" fontId="2" fillId="5" borderId="14" xfId="2" applyNumberFormat="1" applyFont="1" applyFill="1" applyBorder="1" applyAlignment="1">
      <alignment horizontal="center"/>
    </xf>
    <xf numFmtId="0" fontId="15" fillId="0" borderId="0" xfId="2" applyFont="1" applyAlignment="1" applyProtection="1">
      <alignment horizontal="center"/>
      <protection hidden="1"/>
    </xf>
    <xf numFmtId="0" fontId="30" fillId="6" borderId="34" xfId="2" applyFont="1" applyFill="1" applyBorder="1" applyAlignment="1" applyProtection="1">
      <alignment horizontal="center"/>
      <protection hidden="1"/>
    </xf>
    <xf numFmtId="0" fontId="30" fillId="6" borderId="14" xfId="2" applyFont="1" applyFill="1" applyBorder="1" applyAlignment="1" applyProtection="1">
      <alignment horizontal="center"/>
      <protection hidden="1"/>
    </xf>
    <xf numFmtId="0" fontId="2" fillId="10" borderId="2" xfId="2" applyFont="1" applyFill="1" applyBorder="1" applyAlignment="1" applyProtection="1">
      <alignment horizontal="center"/>
      <protection hidden="1"/>
    </xf>
    <xf numFmtId="0" fontId="33" fillId="6" borderId="2" xfId="2" applyFont="1" applyFill="1" applyBorder="1" applyAlignment="1">
      <alignment horizontal="center"/>
    </xf>
    <xf numFmtId="0" fontId="41" fillId="8" borderId="85" xfId="0" applyFont="1" applyFill="1" applyBorder="1" applyAlignment="1" applyProtection="1">
      <alignment horizontal="center" vertical="center"/>
      <protection hidden="1"/>
    </xf>
    <xf numFmtId="0" fontId="41" fillId="8" borderId="86" xfId="0" applyFont="1" applyFill="1" applyBorder="1" applyAlignment="1" applyProtection="1">
      <alignment horizontal="center" vertical="center"/>
      <protection hidden="1"/>
    </xf>
    <xf numFmtId="0" fontId="2" fillId="8" borderId="87" xfId="0" applyFont="1" applyFill="1" applyBorder="1" applyAlignment="1" applyProtection="1">
      <alignment horizontal="center" vertical="center"/>
      <protection hidden="1"/>
    </xf>
    <xf numFmtId="0" fontId="11" fillId="8" borderId="15" xfId="0" applyFont="1" applyFill="1" applyBorder="1" applyAlignment="1" applyProtection="1">
      <alignment horizontal="center" vertical="center"/>
      <protection hidden="1"/>
    </xf>
    <xf numFmtId="0" fontId="41" fillId="8" borderId="88" xfId="0" applyFont="1" applyFill="1" applyBorder="1" applyAlignment="1" applyProtection="1">
      <alignment horizontal="center" vertical="center"/>
      <protection hidden="1"/>
    </xf>
    <xf numFmtId="0" fontId="41" fillId="8" borderId="89" xfId="0" applyFont="1" applyFill="1" applyBorder="1" applyAlignment="1" applyProtection="1">
      <alignment horizontal="center" vertical="center"/>
      <protection hidden="1"/>
    </xf>
    <xf numFmtId="0" fontId="14" fillId="8" borderId="15" xfId="0" applyFont="1" applyFill="1" applyBorder="1" applyAlignment="1" applyProtection="1">
      <alignment horizontal="center" vertical="center"/>
      <protection hidden="1"/>
    </xf>
    <xf numFmtId="0" fontId="12" fillId="8" borderId="17" xfId="0" applyFont="1" applyFill="1" applyBorder="1" applyAlignment="1" applyProtection="1">
      <alignment horizontal="center" vertical="center"/>
      <protection hidden="1"/>
    </xf>
    <xf numFmtId="0" fontId="12" fillId="8" borderId="16" xfId="0" applyFont="1" applyFill="1" applyBorder="1" applyAlignment="1" applyProtection="1">
      <alignment horizontal="center" vertical="center"/>
      <protection hidden="1"/>
    </xf>
    <xf numFmtId="0" fontId="2" fillId="13" borderId="90" xfId="0" applyFont="1" applyFill="1" applyBorder="1" applyAlignment="1" applyProtection="1">
      <alignment horizontal="center" vertical="center"/>
      <protection locked="0"/>
    </xf>
    <xf numFmtId="0" fontId="2" fillId="13" borderId="91" xfId="0" applyFont="1" applyFill="1" applyBorder="1" applyAlignment="1" applyProtection="1">
      <alignment horizontal="center" vertical="center"/>
      <protection locked="0"/>
    </xf>
    <xf numFmtId="164" fontId="2" fillId="13" borderId="103" xfId="0" applyNumberFormat="1" applyFont="1" applyFill="1" applyBorder="1" applyAlignment="1">
      <alignment horizontal="center" vertical="center"/>
    </xf>
    <xf numFmtId="168" fontId="2" fillId="13" borderId="15" xfId="0" applyNumberFormat="1" applyFont="1" applyFill="1" applyBorder="1" applyAlignment="1" applyProtection="1">
      <alignment horizontal="center" vertical="center"/>
      <protection locked="0"/>
    </xf>
    <xf numFmtId="167" fontId="2" fillId="13" borderId="15" xfId="0" applyNumberFormat="1" applyFont="1" applyFill="1" applyBorder="1" applyAlignment="1" applyProtection="1">
      <alignment horizontal="center" vertical="center"/>
      <protection locked="0"/>
    </xf>
    <xf numFmtId="0" fontId="2" fillId="13" borderId="92" xfId="0" applyFont="1" applyFill="1" applyBorder="1" applyAlignment="1">
      <alignment horizontal="center"/>
    </xf>
    <xf numFmtId="0" fontId="2" fillId="13" borderId="91" xfId="0" applyFont="1" applyFill="1" applyBorder="1" applyAlignment="1">
      <alignment horizontal="center"/>
    </xf>
    <xf numFmtId="0" fontId="2" fillId="12" borderId="15" xfId="0" applyFont="1" applyFill="1" applyBorder="1" applyAlignment="1" applyProtection="1">
      <alignment horizontal="center"/>
      <protection hidden="1"/>
    </xf>
    <xf numFmtId="166" fontId="2" fillId="17" borderId="46" xfId="0" applyNumberFormat="1" applyFont="1" applyFill="1" applyBorder="1" applyAlignment="1">
      <alignment horizontal="center" vertical="center"/>
    </xf>
    <xf numFmtId="0" fontId="2" fillId="12" borderId="66" xfId="0" applyFont="1" applyFill="1" applyBorder="1" applyAlignment="1" applyProtection="1">
      <alignment horizontal="center"/>
      <protection hidden="1"/>
    </xf>
    <xf numFmtId="0" fontId="2" fillId="12" borderId="93" xfId="0" applyFont="1" applyFill="1" applyBorder="1" applyAlignment="1" applyProtection="1">
      <alignment horizontal="center"/>
      <protection hidden="1"/>
    </xf>
    <xf numFmtId="0" fontId="11" fillId="8" borderId="94" xfId="0" applyFont="1" applyFill="1" applyBorder="1" applyAlignment="1" applyProtection="1">
      <alignment horizontal="center" vertical="center"/>
      <protection hidden="1"/>
    </xf>
    <xf numFmtId="0" fontId="11" fillId="8" borderId="68" xfId="0" applyFont="1" applyFill="1" applyBorder="1" applyAlignment="1" applyProtection="1">
      <alignment horizontal="center" vertical="center"/>
      <protection hidden="1"/>
    </xf>
    <xf numFmtId="0" fontId="12" fillId="8" borderId="95" xfId="0" applyFont="1" applyFill="1" applyBorder="1" applyAlignment="1" applyProtection="1">
      <alignment horizontal="center" vertical="center"/>
      <protection hidden="1"/>
    </xf>
    <xf numFmtId="0" fontId="11" fillId="8" borderId="96" xfId="0" applyFont="1" applyFill="1" applyBorder="1" applyAlignment="1" applyProtection="1">
      <alignment horizontal="center" vertical="center"/>
      <protection hidden="1"/>
    </xf>
    <xf numFmtId="0" fontId="41" fillId="8" borderId="97" xfId="0" applyFont="1" applyFill="1" applyBorder="1" applyAlignment="1" applyProtection="1">
      <alignment horizontal="center" vertical="center"/>
      <protection hidden="1"/>
    </xf>
    <xf numFmtId="0" fontId="2" fillId="4" borderId="34" xfId="2" applyFont="1" applyFill="1" applyBorder="1" applyAlignment="1" applyProtection="1">
      <alignment horizontal="center" vertical="center"/>
      <protection locked="0"/>
    </xf>
    <xf numFmtId="0" fontId="2" fillId="4" borderId="14" xfId="2" applyFont="1" applyFill="1" applyBorder="1" applyAlignment="1" applyProtection="1">
      <alignment horizontal="center" vertical="center"/>
      <protection locked="0"/>
    </xf>
    <xf numFmtId="0" fontId="14" fillId="8" borderId="98" xfId="0" applyFont="1" applyFill="1" applyBorder="1" applyAlignment="1" applyProtection="1">
      <alignment horizontal="center" vertical="center"/>
      <protection hidden="1"/>
    </xf>
    <xf numFmtId="0" fontId="14" fillId="8" borderId="43" xfId="0" applyFont="1" applyFill="1" applyBorder="1" applyAlignment="1" applyProtection="1">
      <alignment horizontal="center" vertical="center"/>
      <protection hidden="1"/>
    </xf>
    <xf numFmtId="0" fontId="2" fillId="10" borderId="2" xfId="2" applyFont="1" applyFill="1" applyBorder="1" applyAlignment="1" applyProtection="1">
      <alignment horizontal="center" vertical="center"/>
      <protection hidden="1"/>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32" xfId="0" applyBorder="1" applyAlignment="1">
      <alignment horizontal="center" vertical="center"/>
    </xf>
    <xf numFmtId="0" fontId="2" fillId="4" borderId="2" xfId="2" applyFont="1" applyFill="1" applyBorder="1" applyAlignment="1" applyProtection="1">
      <alignment horizontal="center" vertical="center"/>
      <protection locked="0"/>
    </xf>
    <xf numFmtId="0" fontId="35" fillId="13" borderId="2" xfId="0" applyFont="1" applyFill="1" applyBorder="1" applyAlignment="1">
      <alignment horizontal="center"/>
    </xf>
    <xf numFmtId="0" fontId="45" fillId="0" borderId="0" xfId="0" applyFont="1" applyAlignment="1">
      <alignment horizontal="center" vertical="center"/>
    </xf>
    <xf numFmtId="0" fontId="3" fillId="20" borderId="0" xfId="0" applyFont="1" applyFill="1" applyAlignment="1">
      <alignment horizontal="center"/>
    </xf>
    <xf numFmtId="0" fontId="35" fillId="13" borderId="15" xfId="0" applyFont="1" applyFill="1" applyBorder="1" applyAlignment="1">
      <alignment horizontal="center"/>
    </xf>
    <xf numFmtId="0" fontId="35" fillId="13" borderId="46" xfId="0" applyFont="1" applyFill="1" applyBorder="1" applyAlignment="1">
      <alignment horizontal="center"/>
    </xf>
    <xf numFmtId="0" fontId="2" fillId="0" borderId="0" xfId="0" applyFont="1" applyAlignment="1">
      <alignment horizontal="center" vertical="center"/>
    </xf>
    <xf numFmtId="0" fontId="2" fillId="0" borderId="0" xfId="0" applyFont="1" applyAlignment="1" applyProtection="1">
      <alignment horizontal="center"/>
      <protection hidden="1"/>
    </xf>
    <xf numFmtId="0" fontId="0" fillId="0" borderId="0" xfId="0" applyAlignment="1">
      <alignment horizontal="center"/>
    </xf>
    <xf numFmtId="0" fontId="0" fillId="30" borderId="21" xfId="0" applyFill="1" applyBorder="1" applyAlignment="1">
      <alignment horizontal="center"/>
    </xf>
    <xf numFmtId="0" fontId="0" fillId="30" borderId="23" xfId="0" applyFill="1" applyBorder="1" applyAlignment="1">
      <alignment horizontal="center"/>
    </xf>
    <xf numFmtId="0" fontId="0" fillId="0" borderId="0" xfId="0" applyAlignment="1" applyProtection="1">
      <alignment horizontal="center"/>
      <protection locked="0"/>
    </xf>
    <xf numFmtId="0" fontId="0" fillId="30" borderId="19" xfId="0" applyFill="1" applyBorder="1" applyAlignment="1">
      <alignment horizontal="center"/>
    </xf>
    <xf numFmtId="0" fontId="0" fillId="30" borderId="20" xfId="0" applyFill="1" applyBorder="1" applyAlignment="1">
      <alignment horizontal="center"/>
    </xf>
    <xf numFmtId="0" fontId="0" fillId="4" borderId="19" xfId="0" applyFill="1" applyBorder="1" applyAlignment="1" applyProtection="1">
      <alignment horizontal="center"/>
      <protection locked="0"/>
    </xf>
    <xf numFmtId="0" fontId="0" fillId="4" borderId="20" xfId="0" applyFill="1" applyBorder="1" applyAlignment="1" applyProtection="1">
      <alignment horizontal="center"/>
      <protection locked="0"/>
    </xf>
    <xf numFmtId="0" fontId="0" fillId="4" borderId="0" xfId="0" applyFill="1" applyAlignment="1" applyProtection="1">
      <alignment horizontal="center"/>
      <protection locked="0"/>
    </xf>
    <xf numFmtId="0" fontId="0" fillId="30" borderId="21" xfId="0" applyFill="1" applyBorder="1" applyAlignment="1" applyProtection="1">
      <alignment horizontal="center"/>
      <protection locked="0"/>
    </xf>
    <xf numFmtId="0" fontId="0" fillId="30" borderId="23" xfId="0" applyFill="1" applyBorder="1" applyAlignment="1" applyProtection="1">
      <alignment horizontal="center"/>
      <protection locked="0"/>
    </xf>
    <xf numFmtId="0" fontId="0" fillId="0" borderId="33" xfId="0" applyBorder="1" applyAlignment="1" applyProtection="1">
      <alignment horizontal="center"/>
      <protection locked="0"/>
    </xf>
    <xf numFmtId="0" fontId="0" fillId="30" borderId="19" xfId="0" applyFill="1" applyBorder="1" applyAlignment="1" applyProtection="1">
      <alignment horizontal="center"/>
      <protection locked="0"/>
    </xf>
    <xf numFmtId="0" fontId="0" fillId="30" borderId="20" xfId="0" applyFill="1" applyBorder="1" applyAlignment="1" applyProtection="1">
      <alignment horizontal="center"/>
      <protection locked="0"/>
    </xf>
    <xf numFmtId="0" fontId="0" fillId="28" borderId="31" xfId="0" applyFill="1" applyBorder="1" applyAlignment="1">
      <alignment horizontal="center"/>
    </xf>
    <xf numFmtId="0" fontId="0" fillId="28" borderId="32" xfId="0" applyFill="1" applyBorder="1" applyAlignment="1">
      <alignment horizontal="center"/>
    </xf>
    <xf numFmtId="0" fontId="0" fillId="0" borderId="33" xfId="0" applyBorder="1" applyAlignment="1">
      <alignment horizontal="center"/>
    </xf>
    <xf numFmtId="2" fontId="0" fillId="22" borderId="53" xfId="0" applyNumberFormat="1" applyFill="1" applyBorder="1" applyAlignment="1">
      <alignment horizontal="center"/>
    </xf>
    <xf numFmtId="2" fontId="0" fillId="22" borderId="65" xfId="0" applyNumberFormat="1" applyFill="1" applyBorder="1" applyAlignment="1">
      <alignment horizontal="center"/>
    </xf>
    <xf numFmtId="2" fontId="0" fillId="22" borderId="11" xfId="0" applyNumberFormat="1" applyFill="1" applyBorder="1" applyAlignment="1">
      <alignment horizontal="center"/>
    </xf>
    <xf numFmtId="2" fontId="0" fillId="22" borderId="54" xfId="0" applyNumberFormat="1" applyFill="1" applyBorder="1" applyAlignment="1">
      <alignment horizontal="center"/>
    </xf>
    <xf numFmtId="0" fontId="0" fillId="22" borderId="99" xfId="0" applyFill="1" applyBorder="1" applyAlignment="1">
      <alignment horizontal="center"/>
    </xf>
    <xf numFmtId="0" fontId="0" fillId="22" borderId="100" xfId="0" applyFill="1" applyBorder="1" applyAlignment="1">
      <alignment horizontal="center"/>
    </xf>
    <xf numFmtId="0" fontId="0" fillId="22" borderId="101" xfId="0" applyFill="1" applyBorder="1" applyAlignment="1">
      <alignment horizontal="center"/>
    </xf>
    <xf numFmtId="2" fontId="0" fillId="22" borderId="52" xfId="0" applyNumberFormat="1" applyFill="1" applyBorder="1" applyAlignment="1">
      <alignment horizontal="center"/>
    </xf>
    <xf numFmtId="0" fontId="35" fillId="13" borderId="18" xfId="0" applyFont="1" applyFill="1" applyBorder="1" applyAlignment="1">
      <alignment horizontal="center"/>
    </xf>
    <xf numFmtId="0" fontId="35" fillId="13" borderId="27" xfId="0" applyFont="1" applyFill="1" applyBorder="1" applyAlignment="1">
      <alignment horizontal="center"/>
    </xf>
    <xf numFmtId="194" fontId="2" fillId="13" borderId="46" xfId="0" applyNumberFormat="1" applyFont="1" applyFill="1" applyBorder="1" applyAlignment="1">
      <alignment horizontal="center" vertical="center"/>
    </xf>
    <xf numFmtId="195" fontId="2" fillId="17" borderId="15" xfId="0" applyNumberFormat="1" applyFont="1" applyFill="1" applyBorder="1" applyAlignment="1">
      <alignment horizontal="center" vertical="center"/>
    </xf>
    <xf numFmtId="0" fontId="2" fillId="13" borderId="15" xfId="0" applyFont="1" applyFill="1" applyBorder="1" applyAlignment="1">
      <alignment horizontal="center" vertical="center"/>
    </xf>
    <xf numFmtId="0" fontId="2" fillId="13" borderId="46" xfId="0" applyFont="1" applyFill="1" applyBorder="1" applyAlignment="1">
      <alignment horizontal="center" vertical="center"/>
    </xf>
    <xf numFmtId="165" fontId="2" fillId="0" borderId="33" xfId="0" applyNumberFormat="1" applyFont="1" applyBorder="1" applyAlignment="1">
      <alignment horizontal="center" vertical="center"/>
    </xf>
    <xf numFmtId="165" fontId="2" fillId="0" borderId="32" xfId="0" applyNumberFormat="1" applyFont="1" applyBorder="1" applyAlignment="1">
      <alignment horizontal="center" vertical="center"/>
    </xf>
    <xf numFmtId="165" fontId="2" fillId="0" borderId="0" xfId="0" applyNumberFormat="1" applyFont="1" applyAlignment="1">
      <alignment horizontal="center" vertical="center"/>
    </xf>
    <xf numFmtId="165" fontId="2" fillId="0" borderId="20" xfId="0" applyNumberFormat="1" applyFont="1" applyBorder="1" applyAlignment="1">
      <alignment horizontal="center" vertical="center"/>
    </xf>
    <xf numFmtId="0" fontId="2" fillId="0" borderId="12" xfId="0" applyFont="1" applyBorder="1" applyAlignment="1">
      <alignment horizontal="center" vertical="center"/>
    </xf>
    <xf numFmtId="0" fontId="2" fillId="0" borderId="102" xfId="0" applyFont="1" applyBorder="1" applyAlignment="1">
      <alignment horizontal="center" vertical="center"/>
    </xf>
    <xf numFmtId="0" fontId="2" fillId="0" borderId="20" xfId="0" applyFont="1" applyBorder="1" applyAlignment="1">
      <alignment horizontal="center" vertical="center"/>
    </xf>
    <xf numFmtId="175" fontId="2" fillId="0" borderId="22" xfId="0" applyNumberFormat="1" applyFont="1" applyBorder="1" applyAlignment="1">
      <alignment horizontal="center" vertical="center"/>
    </xf>
    <xf numFmtId="175" fontId="2" fillId="0" borderId="23" xfId="0" applyNumberFormat="1" applyFont="1" applyBorder="1" applyAlignment="1">
      <alignment horizontal="center" vertical="center"/>
    </xf>
    <xf numFmtId="165" fontId="2" fillId="0" borderId="12" xfId="0" applyNumberFormat="1" applyFont="1" applyBorder="1" applyAlignment="1">
      <alignment horizontal="center" vertical="center"/>
    </xf>
    <xf numFmtId="1" fontId="2" fillId="0" borderId="12" xfId="0" applyNumberFormat="1" applyFont="1" applyBorder="1" applyAlignment="1">
      <alignment horizontal="center" vertical="center"/>
    </xf>
    <xf numFmtId="0" fontId="2" fillId="0" borderId="21" xfId="0" applyFont="1" applyBorder="1" applyAlignment="1">
      <alignment horizontal="left"/>
    </xf>
    <xf numFmtId="0" fontId="2" fillId="0" borderId="22" xfId="0" applyFont="1" applyBorder="1" applyAlignment="1">
      <alignment horizontal="left"/>
    </xf>
    <xf numFmtId="0" fontId="2" fillId="0" borderId="31" xfId="0" applyFont="1" applyBorder="1" applyAlignment="1">
      <alignment horizontal="left"/>
    </xf>
    <xf numFmtId="0" fontId="2" fillId="0" borderId="33" xfId="0" applyFont="1" applyBorder="1" applyAlignment="1">
      <alignment horizontal="left"/>
    </xf>
  </cellXfs>
  <cellStyles count="3">
    <cellStyle name="Lien hypertexte" xfId="1" builtinId="8"/>
    <cellStyle name="Normal" xfId="0" builtinId="0"/>
    <cellStyle name="Normal 2" xfId="2" xr:uid="{00000000-0005-0000-0000-000002000000}"/>
  </cellStyles>
  <dxfs count="54">
    <dxf>
      <font>
        <color theme="0"/>
      </font>
    </dxf>
    <dxf>
      <font>
        <color theme="0"/>
      </font>
    </dxf>
    <dxf>
      <font>
        <color theme="0"/>
      </font>
    </dxf>
    <dxf>
      <fill>
        <patternFill patternType="solid">
          <fgColor indexed="42"/>
          <bgColor rgb="FFFFFFCC"/>
        </patternFill>
      </fill>
    </dxf>
    <dxf>
      <fill>
        <patternFill patternType="solid">
          <fgColor indexed="31"/>
          <bgColor indexed="22"/>
        </patternFill>
      </fill>
    </dxf>
    <dxf>
      <fill>
        <patternFill patternType="solid">
          <fgColor indexed="27"/>
          <bgColor rgb="FFFFCCFF"/>
        </patternFill>
      </fill>
    </dxf>
    <dxf>
      <font>
        <color rgb="FFFF0000"/>
      </font>
    </dxf>
    <dxf>
      <font>
        <color rgb="FF808080"/>
      </font>
    </dxf>
    <dxf>
      <fill>
        <patternFill>
          <bgColor indexed="10"/>
        </patternFill>
      </fill>
    </dxf>
    <dxf>
      <fill>
        <patternFill patternType="solid">
          <fgColor indexed="53"/>
          <bgColor rgb="FFFF0000"/>
        </patternFill>
      </fill>
    </dxf>
    <dxf>
      <fill>
        <patternFill patternType="solid">
          <fgColor indexed="60"/>
          <bgColor indexed="10"/>
        </patternFill>
      </fill>
    </dxf>
    <dxf>
      <fill>
        <patternFill>
          <bgColor rgb="FFFF0000"/>
        </patternFill>
      </fill>
    </dxf>
    <dxf>
      <font>
        <color rgb="FFCCFFFF"/>
      </font>
    </dxf>
    <dxf>
      <font>
        <color rgb="FFCC6600"/>
      </font>
    </dxf>
    <dxf>
      <font>
        <color rgb="FFCC6600"/>
      </font>
    </dxf>
    <dxf>
      <fill>
        <patternFill>
          <bgColor rgb="FFFF0000"/>
        </patternFill>
      </fill>
    </dxf>
    <dxf>
      <font>
        <color theme="0"/>
      </font>
      <fill>
        <patternFill patternType="none">
          <bgColor indexed="65"/>
        </patternFill>
      </fill>
      <border>
        <left/>
        <right/>
        <top/>
        <bottom/>
      </border>
    </dxf>
    <dxf>
      <font>
        <color theme="0"/>
      </font>
      <fill>
        <patternFill patternType="none">
          <bgColor indexed="65"/>
        </patternFill>
      </fill>
      <border>
        <left/>
        <right/>
        <bottom/>
      </border>
    </dxf>
    <dxf>
      <font>
        <color rgb="FF99CCFF"/>
      </font>
    </dxf>
    <dxf>
      <fill>
        <patternFill>
          <bgColor indexed="10"/>
        </patternFill>
      </fill>
    </dxf>
    <dxf>
      <font>
        <color theme="0"/>
      </font>
      <fill>
        <patternFill>
          <bgColor theme="0"/>
        </patternFill>
      </fill>
      <border>
        <right/>
        <top/>
        <bottom/>
      </border>
    </dxf>
    <dxf>
      <font>
        <color indexed="9"/>
      </font>
      <fill>
        <patternFill patternType="solid">
          <bgColor indexed="9"/>
        </patternFill>
      </fill>
      <border>
        <left/>
        <right/>
        <top/>
        <bottom/>
      </border>
    </dxf>
    <dxf>
      <font>
        <color theme="0"/>
      </font>
      <fill>
        <patternFill>
          <bgColor theme="0"/>
        </patternFill>
      </fill>
      <border>
        <left/>
        <right/>
        <top/>
        <bottom/>
      </border>
    </dxf>
    <dxf>
      <font>
        <color theme="0"/>
      </font>
      <fill>
        <patternFill patternType="solid">
          <bgColor theme="0"/>
        </patternFill>
      </fill>
      <border>
        <right/>
        <bottom/>
      </border>
    </dxf>
    <dxf>
      <fill>
        <patternFill patternType="solid">
          <fgColor indexed="60"/>
          <bgColor indexed="10"/>
        </patternFill>
      </fill>
    </dxf>
    <dxf>
      <font>
        <color rgb="FFFFFF99"/>
        <name val="Cambria"/>
        <scheme val="none"/>
      </font>
    </dxf>
    <dxf>
      <font>
        <color rgb="FF808080"/>
      </font>
    </dxf>
    <dxf>
      <font>
        <color theme="0"/>
      </font>
      <fill>
        <patternFill>
          <bgColor theme="0"/>
        </patternFill>
      </fill>
      <border>
        <left/>
        <right/>
        <bottom/>
      </border>
    </dxf>
    <dxf>
      <font>
        <color rgb="FFFF0000"/>
      </font>
    </dxf>
    <dxf>
      <font>
        <color indexed="9"/>
      </font>
      <fill>
        <patternFill>
          <bgColor indexed="9"/>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dxf>
    <dxf>
      <font>
        <color rgb="FFFF0000"/>
      </font>
    </dxf>
    <dxf>
      <font>
        <color rgb="FFFF0000"/>
      </font>
    </dxf>
    <dxf>
      <font>
        <color rgb="FFFF0000"/>
      </font>
    </dxf>
    <dxf>
      <font>
        <condense val="0"/>
        <extend val="0"/>
        <color indexed="11"/>
      </font>
    </dxf>
    <dxf>
      <font>
        <color rgb="FFFF0000"/>
      </font>
    </dxf>
    <dxf>
      <font>
        <color rgb="FFFF0000"/>
      </font>
    </dxf>
    <dxf>
      <font>
        <color rgb="FFFF0000"/>
      </font>
    </dxf>
    <dxf>
      <font>
        <color rgb="FFFF0000"/>
      </font>
    </dxf>
    <dxf>
      <font>
        <color theme="1"/>
      </font>
    </dxf>
    <dxf>
      <font>
        <color rgb="FFFFFF99"/>
      </font>
    </dxf>
    <dxf>
      <font>
        <color rgb="FFCC6600"/>
      </font>
    </dxf>
    <dxf>
      <font>
        <color rgb="FFCC6600"/>
      </font>
    </dxf>
    <dxf>
      <font>
        <color rgb="FFCC6600"/>
      </font>
    </dxf>
    <dxf>
      <font>
        <color rgb="FFCC6600"/>
      </font>
    </dxf>
    <dxf>
      <font>
        <color rgb="FFCC6600"/>
      </font>
    </dxf>
    <dxf>
      <font>
        <color theme="1"/>
      </font>
    </dxf>
    <dxf>
      <font>
        <color rgb="FFCC6600"/>
      </font>
    </dxf>
    <dxf>
      <font>
        <color rgb="FFCC6600"/>
      </font>
    </dxf>
    <dxf>
      <font>
        <color rgb="FFFF0000"/>
      </font>
    </dxf>
    <dxf>
      <font>
        <color rgb="FFCC6600"/>
      </font>
    </dxf>
    <dxf>
      <font>
        <color theme="0"/>
      </font>
      <fill>
        <patternFill patternType="none">
          <bgColor indexed="65"/>
        </patternFill>
      </fill>
      <border>
        <left/>
        <right/>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3CAFF"/>
      <rgbColor rgb="00993366"/>
      <rgbColor rgb="00E6E6E6"/>
      <rgbColor rgb="00CCFFFF"/>
      <rgbColor rgb="00660066"/>
      <rgbColor rgb="00FF8080"/>
      <rgbColor rgb="000066CC"/>
      <rgbColor rgb="00CCCCCC"/>
      <rgbColor rgb="00000080"/>
      <rgbColor rgb="00FF00FF"/>
      <rgbColor rgb="00FFFF00"/>
      <rgbColor rgb="0000FFFF"/>
      <rgbColor rgb="00800080"/>
      <rgbColor rgb="00800000"/>
      <rgbColor rgb="00008080"/>
      <rgbColor rgb="000000FF"/>
      <rgbColor rgb="0000CCFF"/>
      <rgbColor rgb="00D9D9D9"/>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B3B3B3"/>
      <rgbColor rgb="0000458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970566137003713E-2"/>
          <c:y val="6.4690026954178192E-2"/>
          <c:w val="0.84871001627006748"/>
          <c:h val="0.90566037735849303"/>
        </c:manualLayout>
      </c:layout>
      <c:scatterChart>
        <c:scatterStyle val="lineMarker"/>
        <c:varyColors val="0"/>
        <c:ser>
          <c:idx val="0"/>
          <c:order val="0"/>
          <c:tx>
            <c:v>fuselage</c:v>
          </c:tx>
          <c:spPr>
            <a:ln w="25400">
              <a:solidFill>
                <a:srgbClr val="000080"/>
              </a:solidFill>
              <a:prstDash val="solid"/>
            </a:ln>
          </c:spPr>
          <c:marker>
            <c:symbol val="none"/>
          </c:marker>
          <c:xVal>
            <c:numRef>
              <c:f>Stabilito!$D$124:$D$131</c:f>
              <c:numCache>
                <c:formatCode>0</c:formatCode>
                <c:ptCount val="8"/>
                <c:pt idx="0">
                  <c:v>0</c:v>
                </c:pt>
                <c:pt idx="1">
                  <c:v>29.5</c:v>
                </c:pt>
                <c:pt idx="2">
                  <c:v>29.5</c:v>
                </c:pt>
                <c:pt idx="3">
                  <c:v>29.5</c:v>
                </c:pt>
                <c:pt idx="4">
                  <c:v>29.5</c:v>
                </c:pt>
                <c:pt idx="5">
                  <c:v>29.5</c:v>
                </c:pt>
                <c:pt idx="6">
                  <c:v>29.5</c:v>
                </c:pt>
                <c:pt idx="7">
                  <c:v>0</c:v>
                </c:pt>
              </c:numCache>
            </c:numRef>
          </c:xVal>
          <c:yVal>
            <c:numRef>
              <c:f>Stabilito!$C$124:$C$131</c:f>
              <c:numCache>
                <c:formatCode>0</c:formatCode>
                <c:ptCount val="8"/>
                <c:pt idx="0">
                  <c:v>-199</c:v>
                </c:pt>
                <c:pt idx="1">
                  <c:v>-199</c:v>
                </c:pt>
                <c:pt idx="2">
                  <c:v>-199</c:v>
                </c:pt>
                <c:pt idx="3">
                  <c:v>-199</c:v>
                </c:pt>
                <c:pt idx="4">
                  <c:v>-199</c:v>
                </c:pt>
                <c:pt idx="5">
                  <c:v>-199</c:v>
                </c:pt>
                <c:pt idx="6">
                  <c:v>-1001</c:v>
                </c:pt>
                <c:pt idx="7">
                  <c:v>-1001</c:v>
                </c:pt>
              </c:numCache>
            </c:numRef>
          </c:yVal>
          <c:smooth val="0"/>
          <c:extLst>
            <c:ext xmlns:c16="http://schemas.microsoft.com/office/drawing/2014/chart" uri="{C3380CC4-5D6E-409C-BE32-E72D297353CC}">
              <c16:uniqueId val="{00000000-F091-4909-B7A3-EF83D77F839F}"/>
            </c:ext>
          </c:extLst>
        </c:ser>
        <c:ser>
          <c:idx val="1"/>
          <c:order val="1"/>
          <c:tx>
            <c:v>aileron</c:v>
          </c:tx>
          <c:spPr>
            <a:ln w="25400">
              <a:solidFill>
                <a:srgbClr val="00FF00"/>
              </a:solidFill>
              <a:prstDash val="solid"/>
            </a:ln>
          </c:spPr>
          <c:marker>
            <c:symbol val="none"/>
          </c:marker>
          <c:xVal>
            <c:numRef>
              <c:f>Stabilito!$D$132:$D$136</c:f>
              <c:numCache>
                <c:formatCode>0</c:formatCode>
                <c:ptCount val="5"/>
                <c:pt idx="0">
                  <c:v>29.5</c:v>
                </c:pt>
                <c:pt idx="1">
                  <c:v>128.5</c:v>
                </c:pt>
                <c:pt idx="2">
                  <c:v>128.5</c:v>
                </c:pt>
                <c:pt idx="3">
                  <c:v>29.5</c:v>
                </c:pt>
                <c:pt idx="4">
                  <c:v>29.5</c:v>
                </c:pt>
              </c:numCache>
            </c:numRef>
          </c:xVal>
          <c:yVal>
            <c:numRef>
              <c:f>Stabilito!$C$132:$C$136</c:f>
              <c:numCache>
                <c:formatCode>0</c:formatCode>
                <c:ptCount val="5"/>
                <c:pt idx="0">
                  <c:v>-892</c:v>
                </c:pt>
                <c:pt idx="1">
                  <c:v>-1001</c:v>
                </c:pt>
                <c:pt idx="2">
                  <c:v>-1060</c:v>
                </c:pt>
                <c:pt idx="3">
                  <c:v>-1001</c:v>
                </c:pt>
                <c:pt idx="4">
                  <c:v>-892</c:v>
                </c:pt>
              </c:numCache>
            </c:numRef>
          </c:yVal>
          <c:smooth val="0"/>
          <c:extLst>
            <c:ext xmlns:c16="http://schemas.microsoft.com/office/drawing/2014/chart" uri="{C3380CC4-5D6E-409C-BE32-E72D297353CC}">
              <c16:uniqueId val="{00000001-F091-4909-B7A3-EF83D77F839F}"/>
            </c:ext>
          </c:extLst>
        </c:ser>
        <c:ser>
          <c:idx val="2"/>
          <c:order val="2"/>
          <c:tx>
            <c:v>fuselage2</c:v>
          </c:tx>
          <c:spPr>
            <a:ln w="25400">
              <a:solidFill>
                <a:srgbClr val="000080"/>
              </a:solidFill>
              <a:prstDash val="solid"/>
            </a:ln>
          </c:spPr>
          <c:marker>
            <c:symbol val="none"/>
          </c:marker>
          <c:xVal>
            <c:numRef>
              <c:f>Stabilito!$E$124:$E$131</c:f>
              <c:numCache>
                <c:formatCode>0</c:formatCode>
                <c:ptCount val="8"/>
                <c:pt idx="0">
                  <c:v>0</c:v>
                </c:pt>
                <c:pt idx="1">
                  <c:v>-29.5</c:v>
                </c:pt>
                <c:pt idx="2">
                  <c:v>-29.5</c:v>
                </c:pt>
                <c:pt idx="3">
                  <c:v>-29.5</c:v>
                </c:pt>
                <c:pt idx="4">
                  <c:v>-29.5</c:v>
                </c:pt>
                <c:pt idx="5">
                  <c:v>-29.5</c:v>
                </c:pt>
                <c:pt idx="6">
                  <c:v>-29.5</c:v>
                </c:pt>
                <c:pt idx="7">
                  <c:v>0</c:v>
                </c:pt>
              </c:numCache>
            </c:numRef>
          </c:xVal>
          <c:yVal>
            <c:numRef>
              <c:f>Stabilito!$C$124:$C$131</c:f>
              <c:numCache>
                <c:formatCode>0</c:formatCode>
                <c:ptCount val="8"/>
                <c:pt idx="0">
                  <c:v>-199</c:v>
                </c:pt>
                <c:pt idx="1">
                  <c:v>-199</c:v>
                </c:pt>
                <c:pt idx="2">
                  <c:v>-199</c:v>
                </c:pt>
                <c:pt idx="3">
                  <c:v>-199</c:v>
                </c:pt>
                <c:pt idx="4">
                  <c:v>-199</c:v>
                </c:pt>
                <c:pt idx="5">
                  <c:v>-199</c:v>
                </c:pt>
                <c:pt idx="6">
                  <c:v>-1001</c:v>
                </c:pt>
                <c:pt idx="7">
                  <c:v>-1001</c:v>
                </c:pt>
              </c:numCache>
            </c:numRef>
          </c:yVal>
          <c:smooth val="0"/>
          <c:extLst>
            <c:ext xmlns:c16="http://schemas.microsoft.com/office/drawing/2014/chart" uri="{C3380CC4-5D6E-409C-BE32-E72D297353CC}">
              <c16:uniqueId val="{00000002-F091-4909-B7A3-EF83D77F839F}"/>
            </c:ext>
          </c:extLst>
        </c:ser>
        <c:ser>
          <c:idx val="3"/>
          <c:order val="3"/>
          <c:tx>
            <c:v>aileron2</c:v>
          </c:tx>
          <c:spPr>
            <a:ln w="25400">
              <a:solidFill>
                <a:srgbClr val="00FF00"/>
              </a:solidFill>
              <a:prstDash val="solid"/>
            </a:ln>
          </c:spPr>
          <c:marker>
            <c:symbol val="none"/>
          </c:marker>
          <c:xVal>
            <c:numRef>
              <c:f>Stabilito!$E$132:$E$136</c:f>
              <c:numCache>
                <c:formatCode>0</c:formatCode>
                <c:ptCount val="5"/>
                <c:pt idx="0">
                  <c:v>-29.5</c:v>
                </c:pt>
                <c:pt idx="1">
                  <c:v>-128.5</c:v>
                </c:pt>
                <c:pt idx="2">
                  <c:v>-128.5</c:v>
                </c:pt>
                <c:pt idx="3">
                  <c:v>-29.5</c:v>
                </c:pt>
                <c:pt idx="4">
                  <c:v>-29.5</c:v>
                </c:pt>
              </c:numCache>
            </c:numRef>
          </c:xVal>
          <c:yVal>
            <c:numRef>
              <c:f>Stabilito!$C$132:$C$136</c:f>
              <c:numCache>
                <c:formatCode>0</c:formatCode>
                <c:ptCount val="5"/>
                <c:pt idx="0">
                  <c:v>-892</c:v>
                </c:pt>
                <c:pt idx="1">
                  <c:v>-1001</c:v>
                </c:pt>
                <c:pt idx="2">
                  <c:v>-1060</c:v>
                </c:pt>
                <c:pt idx="3">
                  <c:v>-1001</c:v>
                </c:pt>
                <c:pt idx="4">
                  <c:v>-892</c:v>
                </c:pt>
              </c:numCache>
            </c:numRef>
          </c:yVal>
          <c:smooth val="0"/>
          <c:extLst>
            <c:ext xmlns:c16="http://schemas.microsoft.com/office/drawing/2014/chart" uri="{C3380CC4-5D6E-409C-BE32-E72D297353CC}">
              <c16:uniqueId val="{00000003-F091-4909-B7A3-EF83D77F839F}"/>
            </c:ext>
          </c:extLst>
        </c:ser>
        <c:ser>
          <c:idx val="4"/>
          <c:order val="4"/>
          <c:tx>
            <c:strRef>
              <c:f>Stabilito!$B$13</c:f>
              <c:strCache>
                <c:ptCount val="1"/>
                <c:pt idx="0">
                  <c:v>Centre de Masse</c:v>
                </c:pt>
              </c:strCache>
            </c:strRef>
          </c:tx>
          <c:spPr>
            <a:ln w="25400">
              <a:solidFill>
                <a:srgbClr val="0000FF"/>
              </a:solidFill>
              <a:prstDash val="solid"/>
            </a:ln>
          </c:spPr>
          <c:marker>
            <c:symbol val="circle"/>
            <c:size val="5"/>
            <c:spPr>
              <a:solidFill>
                <a:srgbClr val="0000FF"/>
              </a:solidFill>
              <a:ln w="9525">
                <a:noFill/>
              </a:ln>
            </c:spPr>
          </c:marker>
          <c:dLbls>
            <c:dLbl>
              <c:idx val="1"/>
              <c:spPr>
                <a:noFill/>
                <a:ln w="25400">
                  <a:noFill/>
                </a:ln>
              </c:spPr>
              <c:txPr>
                <a:bodyPr/>
                <a:lstStyle/>
                <a:p>
                  <a:pPr>
                    <a:defRPr sz="800" b="0" i="0" u="none" strike="noStrike" baseline="0">
                      <a:solidFill>
                        <a:srgbClr val="0000FF"/>
                      </a:solidFill>
                      <a:latin typeface="Arial"/>
                      <a:ea typeface="Arial"/>
                      <a:cs typeface="Aria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Stabilito!$D$149:$D$150</c:f>
              <c:numCache>
                <c:formatCode>0</c:formatCode>
                <c:ptCount val="2"/>
                <c:pt idx="0">
                  <c:v>0</c:v>
                </c:pt>
                <c:pt idx="1">
                  <c:v>0</c:v>
                </c:pt>
              </c:numCache>
            </c:numRef>
          </c:xVal>
          <c:yVal>
            <c:numRef>
              <c:f>Stabilito!$C$149:$C$150</c:f>
              <c:numCache>
                <c:formatCode>0</c:formatCode>
                <c:ptCount val="2"/>
                <c:pt idx="0">
                  <c:v>-706.65720524017468</c:v>
                </c:pt>
                <c:pt idx="1">
                  <c:v>-688.84543325526931</c:v>
                </c:pt>
              </c:numCache>
            </c:numRef>
          </c:yVal>
          <c:smooth val="0"/>
          <c:extLst>
            <c:ext xmlns:c16="http://schemas.microsoft.com/office/drawing/2014/chart" uri="{C3380CC4-5D6E-409C-BE32-E72D297353CC}">
              <c16:uniqueId val="{00000005-F091-4909-B7A3-EF83D77F839F}"/>
            </c:ext>
          </c:extLst>
        </c:ser>
        <c:ser>
          <c:idx val="5"/>
          <c:order val="5"/>
          <c:tx>
            <c:strRef>
              <c:f>Stabilito!$F$28</c:f>
              <c:strCache>
                <c:ptCount val="1"/>
                <c:pt idx="0">
                  <c:v>Portance</c:v>
                </c:pt>
              </c:strCache>
            </c:strRef>
          </c:tx>
          <c:spPr>
            <a:ln w="25400">
              <a:solidFill>
                <a:srgbClr val="800000"/>
              </a:solidFill>
              <a:prstDash val="solid"/>
            </a:ln>
          </c:spPr>
          <c:marker>
            <c:symbol val="diamond"/>
            <c:size val="5"/>
            <c:spPr>
              <a:solidFill>
                <a:srgbClr val="800000"/>
              </a:solidFill>
              <a:ln>
                <a:solidFill>
                  <a:srgbClr val="800000"/>
                </a:solidFill>
                <a:prstDash val="solid"/>
              </a:ln>
            </c:spPr>
          </c:marker>
          <c:dLbls>
            <c:dLbl>
              <c:idx val="1"/>
              <c:spPr>
                <a:noFill/>
                <a:ln w="25400">
                  <a:noFill/>
                </a:ln>
              </c:spPr>
              <c:txPr>
                <a:bodyPr/>
                <a:lstStyle/>
                <a:p>
                  <a:pPr>
                    <a:defRPr sz="800" b="0" i="0" u="none" strike="noStrike" baseline="0">
                      <a:solidFill>
                        <a:srgbClr val="800000"/>
                      </a:solidFill>
                      <a:latin typeface="Arial"/>
                      <a:ea typeface="Arial"/>
                      <a:cs typeface="Aria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Stabilito!$D$151:$D$154</c:f>
              <c:numCache>
                <c:formatCode>0</c:formatCode>
                <c:ptCount val="4"/>
                <c:pt idx="0">
                  <c:v>0</c:v>
                </c:pt>
                <c:pt idx="1">
                  <c:v>84.556928841874111</c:v>
                </c:pt>
                <c:pt idx="2">
                  <c:v>84.556928841874111</c:v>
                </c:pt>
                <c:pt idx="3">
                  <c:v>0</c:v>
                </c:pt>
              </c:numCache>
            </c:numRef>
          </c:xVal>
          <c:yVal>
            <c:numRef>
              <c:f>Stabilito!$C$151:$C$154</c:f>
              <c:numCache>
                <c:formatCode>0</c:formatCode>
                <c:ptCount val="4"/>
                <c:pt idx="0">
                  <c:v>-881.7880098292294</c:v>
                </c:pt>
                <c:pt idx="1">
                  <c:v>-881.7880098292294</c:v>
                </c:pt>
                <c:pt idx="2">
                  <c:v>-881.7880098292294</c:v>
                </c:pt>
                <c:pt idx="3">
                  <c:v>-881.7880098292294</c:v>
                </c:pt>
              </c:numCache>
            </c:numRef>
          </c:yVal>
          <c:smooth val="0"/>
          <c:extLst>
            <c:ext xmlns:c16="http://schemas.microsoft.com/office/drawing/2014/chart" uri="{C3380CC4-5D6E-409C-BE32-E72D297353CC}">
              <c16:uniqueId val="{00000007-F091-4909-B7A3-EF83D77F839F}"/>
            </c:ext>
          </c:extLst>
        </c:ser>
        <c:ser>
          <c:idx val="6"/>
          <c:order val="6"/>
          <c:tx>
            <c:v>canard</c:v>
          </c:tx>
          <c:spPr>
            <a:ln w="25400">
              <a:solidFill>
                <a:srgbClr val="008000"/>
              </a:solidFill>
              <a:prstDash val="solid"/>
            </a:ln>
          </c:spPr>
          <c:marker>
            <c:symbol val="none"/>
          </c:marker>
          <c:xVal>
            <c:numRef>
              <c:f>Stabilito!$D$158:$D$162</c:f>
              <c:numCache>
                <c:formatCode>0</c:formatCode>
                <c:ptCount val="5"/>
                <c:pt idx="0">
                  <c:v>0</c:v>
                </c:pt>
                <c:pt idx="1">
                  <c:v>0</c:v>
                </c:pt>
                <c:pt idx="2">
                  <c:v>0</c:v>
                </c:pt>
                <c:pt idx="3">
                  <c:v>0</c:v>
                </c:pt>
                <c:pt idx="4">
                  <c:v>0</c:v>
                </c:pt>
              </c:numCache>
            </c:numRef>
          </c:xVal>
          <c:yVal>
            <c:numRef>
              <c:f>Stabilito!$C$158:$C$162</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8-F091-4909-B7A3-EF83D77F839F}"/>
            </c:ext>
          </c:extLst>
        </c:ser>
        <c:ser>
          <c:idx val="7"/>
          <c:order val="7"/>
          <c:tx>
            <c:v>canard2</c:v>
          </c:tx>
          <c:spPr>
            <a:ln w="25400">
              <a:solidFill>
                <a:srgbClr val="008000"/>
              </a:solidFill>
              <a:prstDash val="solid"/>
            </a:ln>
          </c:spPr>
          <c:marker>
            <c:symbol val="none"/>
          </c:marker>
          <c:xVal>
            <c:numRef>
              <c:f>Stabilito!$E$158:$E$162</c:f>
              <c:numCache>
                <c:formatCode>0</c:formatCode>
                <c:ptCount val="5"/>
                <c:pt idx="0">
                  <c:v>0</c:v>
                </c:pt>
                <c:pt idx="1">
                  <c:v>0</c:v>
                </c:pt>
                <c:pt idx="2">
                  <c:v>0</c:v>
                </c:pt>
                <c:pt idx="3">
                  <c:v>0</c:v>
                </c:pt>
                <c:pt idx="4">
                  <c:v>0</c:v>
                </c:pt>
              </c:numCache>
            </c:numRef>
          </c:xVal>
          <c:yVal>
            <c:numRef>
              <c:f>Stabilito!$C$158:$C$162</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9-F091-4909-B7A3-EF83D77F839F}"/>
            </c:ext>
          </c:extLst>
        </c:ser>
        <c:ser>
          <c:idx val="8"/>
          <c:order val="8"/>
          <c:tx>
            <c:v>masquage</c:v>
          </c:tx>
          <c:spPr>
            <a:ln w="25400">
              <a:solidFill>
                <a:srgbClr val="FF0000"/>
              </a:solidFill>
              <a:prstDash val="sysDash"/>
            </a:ln>
          </c:spPr>
          <c:marker>
            <c:symbol val="none"/>
          </c:marker>
          <c:xVal>
            <c:numRef>
              <c:f>Stabilito!$D$163:$D$167</c:f>
              <c:numCache>
                <c:formatCode>0</c:formatCode>
                <c:ptCount val="5"/>
                <c:pt idx="0">
                  <c:v>0</c:v>
                </c:pt>
                <c:pt idx="1">
                  <c:v>0</c:v>
                </c:pt>
                <c:pt idx="2">
                  <c:v>0</c:v>
                </c:pt>
                <c:pt idx="3">
                  <c:v>0</c:v>
                </c:pt>
                <c:pt idx="4">
                  <c:v>0</c:v>
                </c:pt>
              </c:numCache>
            </c:numRef>
          </c:xVal>
          <c:yVal>
            <c:numRef>
              <c:f>Stabilito!$C$163:$C$167</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A-F091-4909-B7A3-EF83D77F839F}"/>
            </c:ext>
          </c:extLst>
        </c:ser>
        <c:ser>
          <c:idx val="9"/>
          <c:order val="9"/>
          <c:tx>
            <c:v>masquage2</c:v>
          </c:tx>
          <c:spPr>
            <a:ln w="25400">
              <a:solidFill>
                <a:srgbClr val="FF0000"/>
              </a:solidFill>
              <a:prstDash val="sysDash"/>
            </a:ln>
          </c:spPr>
          <c:marker>
            <c:symbol val="none"/>
          </c:marker>
          <c:xVal>
            <c:numRef>
              <c:f>Stabilito!$E$163:$E$167</c:f>
              <c:numCache>
                <c:formatCode>0</c:formatCode>
                <c:ptCount val="5"/>
                <c:pt idx="0">
                  <c:v>0</c:v>
                </c:pt>
                <c:pt idx="1">
                  <c:v>0</c:v>
                </c:pt>
                <c:pt idx="2">
                  <c:v>0</c:v>
                </c:pt>
                <c:pt idx="3">
                  <c:v>0</c:v>
                </c:pt>
                <c:pt idx="4">
                  <c:v>0</c:v>
                </c:pt>
              </c:numCache>
            </c:numRef>
          </c:xVal>
          <c:yVal>
            <c:numRef>
              <c:f>Stabilito!$C$163:$C$167</c:f>
              <c:numCache>
                <c:formatCode>0</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B-F091-4909-B7A3-EF83D77F839F}"/>
            </c:ext>
          </c:extLst>
        </c:ser>
        <c:ser>
          <c:idx val="10"/>
          <c:order val="10"/>
          <c:tx>
            <c:v>cadre</c:v>
          </c:tx>
          <c:spPr>
            <a:ln w="12700">
              <a:solidFill>
                <a:srgbClr val="FFFFFF"/>
              </a:solidFill>
              <a:prstDash val="solid"/>
            </a:ln>
          </c:spPr>
          <c:marker>
            <c:symbol val="none"/>
          </c:marker>
          <c:xVal>
            <c:numRef>
              <c:f>Stabilito!$D$168:$D$169</c:f>
              <c:numCache>
                <c:formatCode>0</c:formatCode>
                <c:ptCount val="2"/>
                <c:pt idx="0">
                  <c:v>333.66666666666669</c:v>
                </c:pt>
                <c:pt idx="1">
                  <c:v>-333.66666666666669</c:v>
                </c:pt>
              </c:numCache>
            </c:numRef>
          </c:xVal>
          <c:yVal>
            <c:numRef>
              <c:f>Stabilito!$C$168:$C$169</c:f>
              <c:numCache>
                <c:formatCode>0</c:formatCode>
                <c:ptCount val="2"/>
                <c:pt idx="0">
                  <c:v>-1070.5999999999999</c:v>
                </c:pt>
                <c:pt idx="1">
                  <c:v>-1070.5999999999999</c:v>
                </c:pt>
              </c:numCache>
            </c:numRef>
          </c:yVal>
          <c:smooth val="0"/>
          <c:extLst>
            <c:ext xmlns:c16="http://schemas.microsoft.com/office/drawing/2014/chart" uri="{C3380CC4-5D6E-409C-BE32-E72D297353CC}">
              <c16:uniqueId val="{0000000C-F091-4909-B7A3-EF83D77F839F}"/>
            </c:ext>
          </c:extLst>
        </c:ser>
        <c:ser>
          <c:idx val="11"/>
          <c:order val="11"/>
          <c:tx>
            <c:v>Propu</c:v>
          </c:tx>
          <c:spPr>
            <a:ln w="25400">
              <a:solidFill>
                <a:srgbClr val="FF00FF"/>
              </a:solidFill>
              <a:prstDash val="solid"/>
            </a:ln>
          </c:spPr>
          <c:marker>
            <c:symbol val="none"/>
          </c:marker>
          <c:xVal>
            <c:numRef>
              <c:f>Stabilito!$D$170:$D$174</c:f>
              <c:numCache>
                <c:formatCode>0</c:formatCode>
                <c:ptCount val="5"/>
                <c:pt idx="0">
                  <c:v>-14.5</c:v>
                </c:pt>
                <c:pt idx="1">
                  <c:v>14.5</c:v>
                </c:pt>
                <c:pt idx="2">
                  <c:v>14.5</c:v>
                </c:pt>
                <c:pt idx="3">
                  <c:v>-14.5</c:v>
                </c:pt>
                <c:pt idx="4">
                  <c:v>-14.5</c:v>
                </c:pt>
              </c:numCache>
            </c:numRef>
          </c:xVal>
          <c:yVal>
            <c:numRef>
              <c:f>Stabilito!$C$170:$C$174</c:f>
              <c:numCache>
                <c:formatCode>0</c:formatCode>
                <c:ptCount val="5"/>
                <c:pt idx="0">
                  <c:v>-903</c:v>
                </c:pt>
                <c:pt idx="1">
                  <c:v>-903</c:v>
                </c:pt>
                <c:pt idx="2">
                  <c:v>-1001</c:v>
                </c:pt>
                <c:pt idx="3">
                  <c:v>-1001</c:v>
                </c:pt>
                <c:pt idx="4">
                  <c:v>-903</c:v>
                </c:pt>
              </c:numCache>
            </c:numRef>
          </c:yVal>
          <c:smooth val="0"/>
          <c:extLst>
            <c:ext xmlns:c16="http://schemas.microsoft.com/office/drawing/2014/chart" uri="{C3380CC4-5D6E-409C-BE32-E72D297353CC}">
              <c16:uniqueId val="{0000000D-F091-4909-B7A3-EF83D77F839F}"/>
            </c:ext>
          </c:extLst>
        </c:ser>
        <c:ser>
          <c:idx val="12"/>
          <c:order val="12"/>
          <c:tx>
            <c:v>Cone</c:v>
          </c:tx>
          <c:spPr>
            <a:ln w="25400">
              <a:solidFill>
                <a:srgbClr val="800080"/>
              </a:solidFill>
              <a:prstDash val="solid"/>
            </a:ln>
          </c:spPr>
          <c:marker>
            <c:symbol val="none"/>
          </c:marker>
          <c:xVal>
            <c:numRef>
              <c:f>Stabilito!$D$175:$D$180</c:f>
              <c:numCache>
                <c:formatCode>0</c:formatCode>
                <c:ptCount val="6"/>
                <c:pt idx="0">
                  <c:v>0</c:v>
                </c:pt>
                <c:pt idx="1">
                  <c:v>5.9</c:v>
                </c:pt>
                <c:pt idx="2">
                  <c:v>14.75</c:v>
                </c:pt>
                <c:pt idx="3">
                  <c:v>22.125</c:v>
                </c:pt>
                <c:pt idx="4">
                  <c:v>26.55</c:v>
                </c:pt>
                <c:pt idx="5">
                  <c:v>29.5</c:v>
                </c:pt>
              </c:numCache>
            </c:numRef>
          </c:xVal>
          <c:yVal>
            <c:numRef>
              <c:f>Stabilito!$C$175:$C$180</c:f>
              <c:numCache>
                <c:formatCode>0</c:formatCode>
                <c:ptCount val="6"/>
                <c:pt idx="0">
                  <c:v>0</c:v>
                </c:pt>
                <c:pt idx="1">
                  <c:v>-19.900000000000002</c:v>
                </c:pt>
                <c:pt idx="2">
                  <c:v>-49.75</c:v>
                </c:pt>
                <c:pt idx="3">
                  <c:v>-99.5</c:v>
                </c:pt>
                <c:pt idx="4">
                  <c:v>-149.25</c:v>
                </c:pt>
                <c:pt idx="5">
                  <c:v>-199</c:v>
                </c:pt>
              </c:numCache>
            </c:numRef>
          </c:yVal>
          <c:smooth val="0"/>
          <c:extLst>
            <c:ext xmlns:c16="http://schemas.microsoft.com/office/drawing/2014/chart" uri="{C3380CC4-5D6E-409C-BE32-E72D297353CC}">
              <c16:uniqueId val="{0000000E-F091-4909-B7A3-EF83D77F839F}"/>
            </c:ext>
          </c:extLst>
        </c:ser>
        <c:ser>
          <c:idx val="13"/>
          <c:order val="13"/>
          <c:tx>
            <c:v>Cone1</c:v>
          </c:tx>
          <c:spPr>
            <a:ln w="25400">
              <a:solidFill>
                <a:srgbClr val="800080"/>
              </a:solidFill>
              <a:prstDash val="solid"/>
            </a:ln>
          </c:spPr>
          <c:marker>
            <c:symbol val="none"/>
          </c:marker>
          <c:xVal>
            <c:numRef>
              <c:f>Stabilito!$E$175:$E$180</c:f>
              <c:numCache>
                <c:formatCode>0</c:formatCode>
                <c:ptCount val="6"/>
                <c:pt idx="0">
                  <c:v>0</c:v>
                </c:pt>
                <c:pt idx="1">
                  <c:v>-5.9</c:v>
                </c:pt>
                <c:pt idx="2">
                  <c:v>-14.75</c:v>
                </c:pt>
                <c:pt idx="3">
                  <c:v>-22.125</c:v>
                </c:pt>
                <c:pt idx="4">
                  <c:v>-26.55</c:v>
                </c:pt>
                <c:pt idx="5">
                  <c:v>-29.5</c:v>
                </c:pt>
              </c:numCache>
            </c:numRef>
          </c:xVal>
          <c:yVal>
            <c:numRef>
              <c:f>Stabilito!$C$175:$C$180</c:f>
              <c:numCache>
                <c:formatCode>0</c:formatCode>
                <c:ptCount val="6"/>
                <c:pt idx="0">
                  <c:v>0</c:v>
                </c:pt>
                <c:pt idx="1">
                  <c:v>-19.900000000000002</c:v>
                </c:pt>
                <c:pt idx="2">
                  <c:v>-49.75</c:v>
                </c:pt>
                <c:pt idx="3">
                  <c:v>-99.5</c:v>
                </c:pt>
                <c:pt idx="4">
                  <c:v>-149.25</c:v>
                </c:pt>
                <c:pt idx="5">
                  <c:v>-199</c:v>
                </c:pt>
              </c:numCache>
            </c:numRef>
          </c:yVal>
          <c:smooth val="0"/>
          <c:extLst>
            <c:ext xmlns:c16="http://schemas.microsoft.com/office/drawing/2014/chart" uri="{C3380CC4-5D6E-409C-BE32-E72D297353CC}">
              <c16:uniqueId val="{0000000F-F091-4909-B7A3-EF83D77F839F}"/>
            </c:ext>
          </c:extLst>
        </c:ser>
        <c:ser>
          <c:idx val="14"/>
          <c:order val="14"/>
          <c:tx>
            <c:strRef>
              <c:f>Stabilito!$B$137</c:f>
              <c:strCache>
                <c:ptCount val="1"/>
                <c:pt idx="0">
                  <c:v>Envergure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Stabilito!$D$137:$D$139</c:f>
              <c:numCache>
                <c:formatCode>0</c:formatCode>
                <c:ptCount val="3"/>
                <c:pt idx="0">
                  <c:v>-128.5</c:v>
                </c:pt>
                <c:pt idx="1">
                  <c:v>-79</c:v>
                </c:pt>
                <c:pt idx="2">
                  <c:v>-29.5</c:v>
                </c:pt>
              </c:numCache>
            </c:numRef>
          </c:xVal>
          <c:yVal>
            <c:numRef>
              <c:f>Stabilito!$C$137:$C$139</c:f>
              <c:numCache>
                <c:formatCode>0</c:formatCode>
                <c:ptCount val="3"/>
                <c:pt idx="0">
                  <c:v>-1093.3666666666666</c:v>
                </c:pt>
                <c:pt idx="1">
                  <c:v>-1093.3666666666666</c:v>
                </c:pt>
                <c:pt idx="2">
                  <c:v>-1093.3666666666666</c:v>
                </c:pt>
              </c:numCache>
            </c:numRef>
          </c:yVal>
          <c:smooth val="0"/>
          <c:extLst>
            <c:ext xmlns:c16="http://schemas.microsoft.com/office/drawing/2014/chart" uri="{C3380CC4-5D6E-409C-BE32-E72D297353CC}">
              <c16:uniqueId val="{00000011-F091-4909-B7A3-EF83D77F839F}"/>
            </c:ext>
          </c:extLst>
        </c:ser>
        <c:ser>
          <c:idx val="15"/>
          <c:order val="15"/>
          <c:tx>
            <c:strRef>
              <c:f>Stabilito!$B$143</c:f>
              <c:strCache>
                <c:ptCount val="1"/>
                <c:pt idx="0">
                  <c:v>Flèche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Stabilito!$D$143:$D$145</c:f>
              <c:numCache>
                <c:formatCode>0</c:formatCode>
                <c:ptCount val="3"/>
                <c:pt idx="0">
                  <c:v>-161.86666666666667</c:v>
                </c:pt>
                <c:pt idx="1">
                  <c:v>-161.86666666666667</c:v>
                </c:pt>
                <c:pt idx="2">
                  <c:v>-161.86666666666667</c:v>
                </c:pt>
              </c:numCache>
            </c:numRef>
          </c:xVal>
          <c:yVal>
            <c:numRef>
              <c:f>Stabilito!$C$143:$C$145</c:f>
              <c:numCache>
                <c:formatCode>0</c:formatCode>
                <c:ptCount val="3"/>
                <c:pt idx="0">
                  <c:v>-892</c:v>
                </c:pt>
                <c:pt idx="1">
                  <c:v>-946.5</c:v>
                </c:pt>
                <c:pt idx="2">
                  <c:v>-1001</c:v>
                </c:pt>
              </c:numCache>
            </c:numRef>
          </c:yVal>
          <c:smooth val="0"/>
          <c:extLst>
            <c:ext xmlns:c16="http://schemas.microsoft.com/office/drawing/2014/chart" uri="{C3380CC4-5D6E-409C-BE32-E72D297353CC}">
              <c16:uniqueId val="{00000013-F091-4909-B7A3-EF83D77F839F}"/>
            </c:ext>
          </c:extLst>
        </c:ser>
        <c:ser>
          <c:idx val="16"/>
          <c:order val="16"/>
          <c:tx>
            <c:strRef>
              <c:f>Stabilito!$B$146</c:f>
              <c:strCache>
                <c:ptCount val="1"/>
                <c:pt idx="0">
                  <c:v>Saumon</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Stabilito!$D$146:$D$148</c:f>
              <c:numCache>
                <c:formatCode>0</c:formatCode>
                <c:ptCount val="3"/>
                <c:pt idx="0">
                  <c:v>-178.55</c:v>
                </c:pt>
                <c:pt idx="1">
                  <c:v>-178.55</c:v>
                </c:pt>
                <c:pt idx="2">
                  <c:v>-178.55</c:v>
                </c:pt>
              </c:numCache>
            </c:numRef>
          </c:xVal>
          <c:yVal>
            <c:numRef>
              <c:f>Stabilito!$C$146:$C$148</c:f>
              <c:numCache>
                <c:formatCode>0</c:formatCode>
                <c:ptCount val="3"/>
                <c:pt idx="0">
                  <c:v>-1001</c:v>
                </c:pt>
                <c:pt idx="1">
                  <c:v>-1030.5</c:v>
                </c:pt>
                <c:pt idx="2">
                  <c:v>-1060</c:v>
                </c:pt>
              </c:numCache>
            </c:numRef>
          </c:yVal>
          <c:smooth val="0"/>
          <c:extLst>
            <c:ext xmlns:c16="http://schemas.microsoft.com/office/drawing/2014/chart" uri="{C3380CC4-5D6E-409C-BE32-E72D297353CC}">
              <c16:uniqueId val="{00000015-F091-4909-B7A3-EF83D77F839F}"/>
            </c:ext>
          </c:extLst>
        </c:ser>
        <c:ser>
          <c:idx val="17"/>
          <c:order val="17"/>
          <c:tx>
            <c:strRef>
              <c:f>Stabilito!$B$140</c:f>
              <c:strCache>
                <c:ptCount val="1"/>
                <c:pt idx="0">
                  <c:v>Emplanture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6-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Stabilito!$D$140:$D$142</c:f>
              <c:numCache>
                <c:formatCode>0</c:formatCode>
                <c:ptCount val="3"/>
                <c:pt idx="0">
                  <c:v>178.55</c:v>
                </c:pt>
                <c:pt idx="1">
                  <c:v>178.55</c:v>
                </c:pt>
                <c:pt idx="2">
                  <c:v>178.55</c:v>
                </c:pt>
              </c:numCache>
            </c:numRef>
          </c:xVal>
          <c:yVal>
            <c:numRef>
              <c:f>Stabilito!$C$140:$C$142</c:f>
              <c:numCache>
                <c:formatCode>0</c:formatCode>
                <c:ptCount val="3"/>
                <c:pt idx="0">
                  <c:v>-892</c:v>
                </c:pt>
                <c:pt idx="1">
                  <c:v>-946.5</c:v>
                </c:pt>
                <c:pt idx="2">
                  <c:v>-1001</c:v>
                </c:pt>
              </c:numCache>
            </c:numRef>
          </c:yVal>
          <c:smooth val="0"/>
          <c:extLst>
            <c:ext xmlns:c16="http://schemas.microsoft.com/office/drawing/2014/chart" uri="{C3380CC4-5D6E-409C-BE32-E72D297353CC}">
              <c16:uniqueId val="{00000017-F091-4909-B7A3-EF83D77F839F}"/>
            </c:ext>
          </c:extLst>
        </c:ser>
        <c:ser>
          <c:idx val="18"/>
          <c:order val="18"/>
          <c:tx>
            <c:strRef>
              <c:f>Stabilito!$B$155</c:f>
              <c:strCache>
                <c:ptCount val="1"/>
                <c:pt idx="0">
                  <c:v>Marge Statique</c:v>
                </c:pt>
              </c:strCache>
            </c:strRef>
          </c:tx>
          <c:spPr>
            <a:ln w="12700">
              <a:solidFill>
                <a:schemeClr val="tx1"/>
              </a:solidFill>
            </a:ln>
          </c:spPr>
          <c:marker>
            <c:symbol val="none"/>
          </c:marker>
          <c:dLbls>
            <c:dLbl>
              <c:idx val="1"/>
              <c:spPr>
                <a:noFill/>
                <a:ln w="25400">
                  <a:noFill/>
                </a:ln>
              </c:spPr>
              <c:txPr>
                <a:bodyPr/>
                <a:lstStyle/>
                <a:p>
                  <a:pPr>
                    <a:defRPr sz="600" b="0" i="0" u="none" strike="noStrike" baseline="0">
                      <a:solidFill>
                        <a:srgbClr val="0000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8-F091-4909-B7A3-EF83D77F839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Stabilito!$D$155:$D$157</c:f>
              <c:numCache>
                <c:formatCode>0</c:formatCode>
                <c:ptCount val="3"/>
                <c:pt idx="0">
                  <c:v>-178.55</c:v>
                </c:pt>
                <c:pt idx="1">
                  <c:v>-178.55</c:v>
                </c:pt>
                <c:pt idx="2">
                  <c:v>-178.55</c:v>
                </c:pt>
              </c:numCache>
            </c:numRef>
          </c:xVal>
          <c:yVal>
            <c:numRef>
              <c:f>Stabilito!$C$155:$C$157</c:f>
              <c:numCache>
                <c:formatCode>0</c:formatCode>
                <c:ptCount val="3"/>
                <c:pt idx="0">
                  <c:v>-697.75131924772199</c:v>
                </c:pt>
                <c:pt idx="1">
                  <c:v>-789.76966453847569</c:v>
                </c:pt>
                <c:pt idx="2">
                  <c:v>-881.7880098292294</c:v>
                </c:pt>
              </c:numCache>
            </c:numRef>
          </c:yVal>
          <c:smooth val="0"/>
          <c:extLst>
            <c:ext xmlns:c16="http://schemas.microsoft.com/office/drawing/2014/chart" uri="{C3380CC4-5D6E-409C-BE32-E72D297353CC}">
              <c16:uniqueId val="{00000019-F091-4909-B7A3-EF83D77F839F}"/>
            </c:ext>
          </c:extLst>
        </c:ser>
        <c:dLbls>
          <c:showLegendKey val="0"/>
          <c:showVal val="0"/>
          <c:showCatName val="0"/>
          <c:showSerName val="0"/>
          <c:showPercent val="0"/>
          <c:showBubbleSize val="0"/>
        </c:dLbls>
        <c:axId val="148707200"/>
        <c:axId val="148708736"/>
      </c:scatterChart>
      <c:valAx>
        <c:axId val="148707200"/>
        <c:scaling>
          <c:orientation val="minMax"/>
        </c:scaling>
        <c:delete val="0"/>
        <c:axPos val="t"/>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fr-FR"/>
          </a:p>
        </c:txPr>
        <c:crossAx val="148708736"/>
        <c:crosses val="max"/>
        <c:crossBetween val="midCat"/>
      </c:valAx>
      <c:valAx>
        <c:axId val="148708736"/>
        <c:scaling>
          <c:orientation val="minMax"/>
        </c:scaling>
        <c:delete val="0"/>
        <c:axPos val="r"/>
        <c:numFmt formatCode="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fr-FR"/>
          </a:p>
        </c:txPr>
        <c:crossAx val="148707200"/>
        <c:crosses val="max"/>
        <c:crossBetween val="midCat"/>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Abaco!$B$77</c:f>
          <c:strCache>
            <c:ptCount val="1"/>
            <c:pt idx="0">
              <c:v>Vitesse max / Masse totale</c:v>
            </c:pt>
          </c:strCache>
        </c:strRef>
      </c:tx>
      <c:layout>
        <c:manualLayout>
          <c:xMode val="edge"/>
          <c:yMode val="edge"/>
          <c:x val="0.32580555555555563"/>
          <c:y val="3.2407484861159096E-2"/>
        </c:manualLayout>
      </c:layout>
      <c:overlay val="1"/>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3612729658792738"/>
          <c:y val="5.1400554097404488E-2"/>
          <c:w val="0.81367125984251965"/>
          <c:h val="0.8326195683872849"/>
        </c:manualLayout>
      </c:layout>
      <c:scatterChart>
        <c:scatterStyle val="lineMarker"/>
        <c:varyColors val="0"/>
        <c:ser>
          <c:idx val="0"/>
          <c:order val="0"/>
          <c:tx>
            <c:strRef>
              <c:f>Abaco!$B$43</c:f>
              <c:strCache>
                <c:ptCount val="1"/>
                <c:pt idx="0">
                  <c:v>Ø = 30 mm</c:v>
                </c:pt>
              </c:strCache>
            </c:strRef>
          </c:tx>
          <c:xVal>
            <c:numRef>
              <c:f>Abaco!$D$43:$D$51</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Abaco!$K$43:$K$51</c:f>
              <c:numCache>
                <c:formatCode>General" m/s"</c:formatCode>
                <c:ptCount val="9"/>
                <c:pt idx="0">
                  <c:v>320.58896484545988</c:v>
                </c:pt>
                <c:pt idx="1">
                  <c:v>241.90139560758095</c:v>
                </c:pt>
                <c:pt idx="2">
                  <c:v>176.18005057175569</c:v>
                </c:pt>
                <c:pt idx="3">
                  <c:v>133.58884872075134</c:v>
                </c:pt>
                <c:pt idx="4">
                  <c:v>105.29079517248688</c:v>
                </c:pt>
                <c:pt idx="5">
                  <c:v>85.480396628852091</c:v>
                </c:pt>
                <c:pt idx="6">
                  <c:v>70.949198348350762</c:v>
                </c:pt>
                <c:pt idx="7">
                  <c:v>59.878117227218063</c:v>
                </c:pt>
                <c:pt idx="8">
                  <c:v>51.18170060524497</c:v>
                </c:pt>
              </c:numCache>
            </c:numRef>
          </c:yVal>
          <c:smooth val="0"/>
          <c:extLst>
            <c:ext xmlns:c16="http://schemas.microsoft.com/office/drawing/2014/chart" uri="{C3380CC4-5D6E-409C-BE32-E72D297353CC}">
              <c16:uniqueId val="{00000000-8857-4FF4-B70E-166DFD57E3E3}"/>
            </c:ext>
          </c:extLst>
        </c:ser>
        <c:ser>
          <c:idx val="1"/>
          <c:order val="1"/>
          <c:tx>
            <c:strRef>
              <c:f>Abaco!$B$52</c:f>
              <c:strCache>
                <c:ptCount val="1"/>
                <c:pt idx="0">
                  <c:v>Ø = 59 mm</c:v>
                </c:pt>
              </c:strCache>
            </c:strRef>
          </c:tx>
          <c:xVal>
            <c:numRef>
              <c:f>Abaco!$D$52:$D$60</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Abaco!$K$52:$K$60</c:f>
              <c:numCache>
                <c:formatCode>General" m/s"</c:formatCode>
                <c:ptCount val="9"/>
                <c:pt idx="0">
                  <c:v>166.15658574058946</c:v>
                </c:pt>
                <c:pt idx="1">
                  <c:v>156.41867737142613</c:v>
                </c:pt>
                <c:pt idx="2">
                  <c:v>135.55478302480168</c:v>
                </c:pt>
                <c:pt idx="3">
                  <c:v>113.36989112431765</c:v>
                </c:pt>
                <c:pt idx="4">
                  <c:v>94.447129597677943</c:v>
                </c:pt>
                <c:pt idx="5">
                  <c:v>79.256889125070373</c:v>
                </c:pt>
                <c:pt idx="6">
                  <c:v>67.173203081703207</c:v>
                </c:pt>
                <c:pt idx="7">
                  <c:v>57.482838506296602</c:v>
                </c:pt>
                <c:pt idx="8">
                  <c:v>49.607286463339463</c:v>
                </c:pt>
              </c:numCache>
            </c:numRef>
          </c:yVal>
          <c:smooth val="0"/>
          <c:extLst>
            <c:ext xmlns:c16="http://schemas.microsoft.com/office/drawing/2014/chart" uri="{C3380CC4-5D6E-409C-BE32-E72D297353CC}">
              <c16:uniqueId val="{00000001-8857-4FF4-B70E-166DFD57E3E3}"/>
            </c:ext>
          </c:extLst>
        </c:ser>
        <c:ser>
          <c:idx val="2"/>
          <c:order val="2"/>
          <c:tx>
            <c:strRef>
              <c:f>Abaco!$B$61</c:f>
              <c:strCache>
                <c:ptCount val="1"/>
                <c:pt idx="0">
                  <c:v>Ø = 89 mm</c:v>
                </c:pt>
              </c:strCache>
            </c:strRef>
          </c:tx>
          <c:xVal>
            <c:numRef>
              <c:f>Abaco!$D$61:$D$69</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Abaco!$K$61:$K$69</c:f>
              <c:numCache>
                <c:formatCode>General" m/s"</c:formatCode>
                <c:ptCount val="9"/>
                <c:pt idx="0">
                  <c:v>110.84384886119763</c:v>
                </c:pt>
                <c:pt idx="1">
                  <c:v>108.34169557882109</c:v>
                </c:pt>
                <c:pt idx="2">
                  <c:v>102.03851920289142</c:v>
                </c:pt>
                <c:pt idx="3">
                  <c:v>92.200161036183943</c:v>
                </c:pt>
                <c:pt idx="4">
                  <c:v>81.313160514164409</c:v>
                </c:pt>
                <c:pt idx="5">
                  <c:v>70.993805497560956</c:v>
                </c:pt>
                <c:pt idx="6">
                  <c:v>61.848568886047204</c:v>
                </c:pt>
                <c:pt idx="7">
                  <c:v>53.963876954436166</c:v>
                </c:pt>
                <c:pt idx="8">
                  <c:v>47.226591270468298</c:v>
                </c:pt>
              </c:numCache>
            </c:numRef>
          </c:yVal>
          <c:smooth val="0"/>
          <c:extLst>
            <c:ext xmlns:c16="http://schemas.microsoft.com/office/drawing/2014/chart" uri="{C3380CC4-5D6E-409C-BE32-E72D297353CC}">
              <c16:uniqueId val="{00000002-8857-4FF4-B70E-166DFD57E3E3}"/>
            </c:ext>
          </c:extLst>
        </c:ser>
        <c:dLbls>
          <c:showLegendKey val="0"/>
          <c:showVal val="0"/>
          <c:showCatName val="0"/>
          <c:showSerName val="0"/>
          <c:showPercent val="0"/>
          <c:showBubbleSize val="0"/>
        </c:dLbls>
        <c:axId val="193467904"/>
        <c:axId val="193469824"/>
      </c:scatterChart>
      <c:valAx>
        <c:axId val="193467904"/>
        <c:scaling>
          <c:orientation val="minMax"/>
        </c:scaling>
        <c:delete val="0"/>
        <c:axPos val="b"/>
        <c:majorGridlines/>
        <c:title>
          <c:tx>
            <c:strRef>
              <c:f>Abaco!$B$75</c:f>
              <c:strCache>
                <c:ptCount val="1"/>
                <c:pt idx="0">
                  <c:v>Masse totale</c:v>
                </c:pt>
              </c:strCache>
            </c:strRef>
          </c:tx>
          <c:layout>
            <c:manualLayout>
              <c:xMode val="edge"/>
              <c:yMode val="edge"/>
              <c:x val="0.25133792650918629"/>
              <c:y val="0.80923605680929611"/>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 &quot;kg&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469824"/>
        <c:crosses val="autoZero"/>
        <c:crossBetween val="midCat"/>
      </c:valAx>
      <c:valAx>
        <c:axId val="193469824"/>
        <c:scaling>
          <c:orientation val="minMax"/>
        </c:scaling>
        <c:delete val="0"/>
        <c:axPos val="l"/>
        <c:majorGridlines/>
        <c:title>
          <c:tx>
            <c:strRef>
              <c:f>Abaco!$B$76</c:f>
              <c:strCache>
                <c:ptCount val="1"/>
                <c:pt idx="0">
                  <c:v>Vitesse max</c:v>
                </c:pt>
              </c:strCache>
            </c:strRef>
          </c:tx>
          <c:layout>
            <c:manualLayout>
              <c:xMode val="edge"/>
              <c:yMode val="edge"/>
              <c:x val="0.14166666666666666"/>
              <c:y val="5.803422378207343E-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quot; m/s&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467904"/>
        <c:crosses val="autoZero"/>
        <c:crossBetween val="midCat"/>
      </c:valAx>
    </c:plotArea>
    <c:legend>
      <c:legendPos val="r"/>
      <c:layout>
        <c:manualLayout>
          <c:xMode val="edge"/>
          <c:yMode val="edge"/>
          <c:x val="0.71944466316710431"/>
          <c:y val="0.18706733829172051"/>
          <c:w val="0.20833333333333343"/>
          <c:h val="0.24711352766816386"/>
        </c:manualLayout>
      </c:layout>
      <c:overlay val="0"/>
      <c:spPr>
        <a:solidFill>
          <a:schemeClr val="bg1"/>
        </a:solidFill>
      </c:spPr>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Abaco!$B$79</c:f>
          <c:strCache>
            <c:ptCount val="1"/>
            <c:pt idx="0">
              <c:v>Altitude max / Masse totale</c:v>
            </c:pt>
          </c:strCache>
        </c:strRef>
      </c:tx>
      <c:layout>
        <c:manualLayout>
          <c:xMode val="edge"/>
          <c:yMode val="edge"/>
          <c:x val="0.32580555555555563"/>
          <c:y val="3.2407517456544362E-2"/>
        </c:manualLayout>
      </c:layout>
      <c:overlay val="1"/>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3612729658792738"/>
          <c:y val="5.1400554097404488E-2"/>
          <c:w val="0.81367125984251965"/>
          <c:h val="0.8326195683872849"/>
        </c:manualLayout>
      </c:layout>
      <c:scatterChart>
        <c:scatterStyle val="lineMarker"/>
        <c:varyColors val="0"/>
        <c:ser>
          <c:idx val="0"/>
          <c:order val="0"/>
          <c:tx>
            <c:strRef>
              <c:f>Abaco!$B$43</c:f>
              <c:strCache>
                <c:ptCount val="1"/>
                <c:pt idx="0">
                  <c:v>Ø = 30 mm</c:v>
                </c:pt>
              </c:strCache>
            </c:strRef>
          </c:tx>
          <c:xVal>
            <c:numRef>
              <c:f>Abaco!$D$43:$D$51</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Abaco!$L$43:$L$51</c:f>
              <c:numCache>
                <c:formatCode>General" m"</c:formatCode>
                <c:ptCount val="9"/>
                <c:pt idx="0">
                  <c:v>938.98107388045992</c:v>
                </c:pt>
                <c:pt idx="1">
                  <c:v>1011.0085713387667</c:v>
                </c:pt>
                <c:pt idx="2">
                  <c:v>894.82558261543534</c:v>
                </c:pt>
                <c:pt idx="3">
                  <c:v>712.92066029069804</c:v>
                </c:pt>
                <c:pt idx="4">
                  <c:v>540.64642777737879</c:v>
                </c:pt>
                <c:pt idx="5">
                  <c:v>404.48349671120542</c:v>
                </c:pt>
                <c:pt idx="6">
                  <c:v>304.27015179809229</c:v>
                </c:pt>
                <c:pt idx="7">
                  <c:v>231.96044525496217</c:v>
                </c:pt>
                <c:pt idx="8">
                  <c:v>179.57952162560684</c:v>
                </c:pt>
              </c:numCache>
            </c:numRef>
          </c:yVal>
          <c:smooth val="0"/>
          <c:extLst>
            <c:ext xmlns:c16="http://schemas.microsoft.com/office/drawing/2014/chart" uri="{C3380CC4-5D6E-409C-BE32-E72D297353CC}">
              <c16:uniqueId val="{00000000-7047-4687-B7C4-0BB054548F22}"/>
            </c:ext>
          </c:extLst>
        </c:ser>
        <c:ser>
          <c:idx val="1"/>
          <c:order val="1"/>
          <c:tx>
            <c:strRef>
              <c:f>Abaco!$B$52</c:f>
              <c:strCache>
                <c:ptCount val="1"/>
                <c:pt idx="0">
                  <c:v>Ø = 59 mm</c:v>
                </c:pt>
              </c:strCache>
            </c:strRef>
          </c:tx>
          <c:xVal>
            <c:numRef>
              <c:f>Abaco!$D$52:$D$60</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Abaco!$L$52:$L$60</c:f>
              <c:numCache>
                <c:formatCode>General" m"</c:formatCode>
                <c:ptCount val="9"/>
                <c:pt idx="0">
                  <c:v>401.90624580808282</c:v>
                </c:pt>
                <c:pt idx="1">
                  <c:v>433.41777038497435</c:v>
                </c:pt>
                <c:pt idx="2">
                  <c:v>426.94723426057112</c:v>
                </c:pt>
                <c:pt idx="3">
                  <c:v>393.41631567729655</c:v>
                </c:pt>
                <c:pt idx="4">
                  <c:v>344.69091204512716</c:v>
                </c:pt>
                <c:pt idx="5">
                  <c:v>291.33257027217587</c:v>
                </c:pt>
                <c:pt idx="6">
                  <c:v>240.63566360049782</c:v>
                </c:pt>
                <c:pt idx="7">
                  <c:v>196.32447845231499</c:v>
                </c:pt>
                <c:pt idx="8">
                  <c:v>159.44454109352188</c:v>
                </c:pt>
              </c:numCache>
            </c:numRef>
          </c:yVal>
          <c:smooth val="0"/>
          <c:extLst>
            <c:ext xmlns:c16="http://schemas.microsoft.com/office/drawing/2014/chart" uri="{C3380CC4-5D6E-409C-BE32-E72D297353CC}">
              <c16:uniqueId val="{00000001-7047-4687-B7C4-0BB054548F22}"/>
            </c:ext>
          </c:extLst>
        </c:ser>
        <c:ser>
          <c:idx val="2"/>
          <c:order val="2"/>
          <c:tx>
            <c:strRef>
              <c:f>Abaco!$B$61</c:f>
              <c:strCache>
                <c:ptCount val="1"/>
                <c:pt idx="0">
                  <c:v>Ø = 89 mm</c:v>
                </c:pt>
              </c:strCache>
            </c:strRef>
          </c:tx>
          <c:xVal>
            <c:numRef>
              <c:f>Abaco!$D$61:$D$69</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Abaco!$L$61:$L$69</c:f>
              <c:numCache>
                <c:formatCode>General" m"</c:formatCode>
                <c:ptCount val="9"/>
                <c:pt idx="0">
                  <c:v>252.52896814845553</c:v>
                </c:pt>
                <c:pt idx="1">
                  <c:v>266.41527421712573</c:v>
                </c:pt>
                <c:pt idx="2">
                  <c:v>266.50302039966039</c:v>
                </c:pt>
                <c:pt idx="3">
                  <c:v>255.92898452211006</c:v>
                </c:pt>
                <c:pt idx="4">
                  <c:v>237.21124183151056</c:v>
                </c:pt>
                <c:pt idx="5">
                  <c:v>213.31185686301302</c:v>
                </c:pt>
                <c:pt idx="6">
                  <c:v>187.14643084272046</c:v>
                </c:pt>
                <c:pt idx="7">
                  <c:v>161.11664506614886</c:v>
                </c:pt>
                <c:pt idx="8">
                  <c:v>136.86507209859735</c:v>
                </c:pt>
              </c:numCache>
            </c:numRef>
          </c:yVal>
          <c:smooth val="0"/>
          <c:extLst>
            <c:ext xmlns:c16="http://schemas.microsoft.com/office/drawing/2014/chart" uri="{C3380CC4-5D6E-409C-BE32-E72D297353CC}">
              <c16:uniqueId val="{00000002-7047-4687-B7C4-0BB054548F22}"/>
            </c:ext>
          </c:extLst>
        </c:ser>
        <c:dLbls>
          <c:showLegendKey val="0"/>
          <c:showVal val="0"/>
          <c:showCatName val="0"/>
          <c:showSerName val="0"/>
          <c:showPercent val="0"/>
          <c:showBubbleSize val="0"/>
        </c:dLbls>
        <c:axId val="193512576"/>
        <c:axId val="193514496"/>
      </c:scatterChart>
      <c:valAx>
        <c:axId val="193512576"/>
        <c:scaling>
          <c:orientation val="minMax"/>
        </c:scaling>
        <c:delete val="0"/>
        <c:axPos val="b"/>
        <c:majorGridlines/>
        <c:title>
          <c:tx>
            <c:strRef>
              <c:f>Abaco!$B$75</c:f>
              <c:strCache>
                <c:ptCount val="1"/>
                <c:pt idx="0">
                  <c:v>Masse totale</c:v>
                </c:pt>
              </c:strCache>
            </c:strRef>
          </c:tx>
          <c:layout>
            <c:manualLayout>
              <c:xMode val="edge"/>
              <c:yMode val="edge"/>
              <c:x val="0.25133792650918629"/>
              <c:y val="0.8092359976229385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 &quot;kg&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514496"/>
        <c:crosses val="autoZero"/>
        <c:crossBetween val="midCat"/>
      </c:valAx>
      <c:valAx>
        <c:axId val="193514496"/>
        <c:scaling>
          <c:orientation val="minMax"/>
        </c:scaling>
        <c:delete val="0"/>
        <c:axPos val="l"/>
        <c:majorGridlines/>
        <c:title>
          <c:tx>
            <c:strRef>
              <c:f>Abaco!$B$78</c:f>
              <c:strCache>
                <c:ptCount val="1"/>
                <c:pt idx="0">
                  <c:v>Altitude max</c:v>
                </c:pt>
              </c:strCache>
            </c:strRef>
          </c:tx>
          <c:layout>
            <c:manualLayout>
              <c:xMode val="edge"/>
              <c:yMode val="edge"/>
              <c:x val="0.14166666666666666"/>
              <c:y val="5.8034467389689502E-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quot; m&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3512576"/>
        <c:crosses val="autoZero"/>
        <c:crossBetween val="midCat"/>
      </c:valAx>
    </c:plotArea>
    <c:legend>
      <c:legendPos val="r"/>
      <c:layout>
        <c:manualLayout>
          <c:xMode val="edge"/>
          <c:yMode val="edge"/>
          <c:x val="0.71944466316710431"/>
          <c:y val="0.18396263556678061"/>
          <c:w val="0.20833333333333343"/>
          <c:h val="0.25235886198187502"/>
        </c:manualLayout>
      </c:layout>
      <c:overlay val="0"/>
      <c:spPr>
        <a:solidFill>
          <a:schemeClr val="bg1"/>
        </a:solidFill>
      </c:spPr>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Abaco!$B$81</c:f>
          <c:strCache>
            <c:ptCount val="1"/>
            <c:pt idx="0">
              <c:v>Temps de culmination / Masse totale</c:v>
            </c:pt>
          </c:strCache>
        </c:strRef>
      </c:tx>
      <c:layout>
        <c:manualLayout>
          <c:xMode val="edge"/>
          <c:yMode val="edge"/>
          <c:x val="0.18369438576275529"/>
          <c:y val="3.2407517456544362E-2"/>
        </c:manualLayout>
      </c:layout>
      <c:overlay val="1"/>
      <c:txPr>
        <a:bodyPr/>
        <a:lstStyle/>
        <a:p>
          <a:pPr>
            <a:defRPr sz="1800" b="1"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0.13612729658792738"/>
          <c:y val="5.1400554097404488E-2"/>
          <c:w val="0.81367125984251965"/>
          <c:h val="0.8326195683872849"/>
        </c:manualLayout>
      </c:layout>
      <c:scatterChart>
        <c:scatterStyle val="lineMarker"/>
        <c:varyColors val="0"/>
        <c:ser>
          <c:idx val="0"/>
          <c:order val="0"/>
          <c:tx>
            <c:strRef>
              <c:f>Abaco!$B$43</c:f>
              <c:strCache>
                <c:ptCount val="1"/>
                <c:pt idx="0">
                  <c:v>Ø = 30 mm</c:v>
                </c:pt>
              </c:strCache>
            </c:strRef>
          </c:tx>
          <c:xVal>
            <c:numRef>
              <c:f>Abaco!$D$43:$D$51</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Abaco!$M$43:$M$51</c:f>
              <c:numCache>
                <c:formatCode>General" s"</c:formatCode>
                <c:ptCount val="9"/>
                <c:pt idx="0">
                  <c:v>9.4144367585128386</c:v>
                </c:pt>
                <c:pt idx="1">
                  <c:v>12.057788576786056</c:v>
                </c:pt>
                <c:pt idx="2">
                  <c:v>12.641404855105209</c:v>
                </c:pt>
                <c:pt idx="3">
                  <c:v>12.073261519091139</c:v>
                </c:pt>
                <c:pt idx="4">
                  <c:v>11.004401759159517</c:v>
                </c:pt>
                <c:pt idx="5">
                  <c:v>9.8442201890042043</c:v>
                </c:pt>
                <c:pt idx="6">
                  <c:v>8.7768179501798471</c:v>
                </c:pt>
                <c:pt idx="7">
                  <c:v>7.8549238546136371</c:v>
                </c:pt>
                <c:pt idx="8">
                  <c:v>7.0760561942302118</c:v>
                </c:pt>
              </c:numCache>
            </c:numRef>
          </c:yVal>
          <c:smooth val="0"/>
          <c:extLst>
            <c:ext xmlns:c16="http://schemas.microsoft.com/office/drawing/2014/chart" uri="{C3380CC4-5D6E-409C-BE32-E72D297353CC}">
              <c16:uniqueId val="{00000000-DDCF-44BB-899F-3EC11CCF873C}"/>
            </c:ext>
          </c:extLst>
        </c:ser>
        <c:ser>
          <c:idx val="1"/>
          <c:order val="1"/>
          <c:tx>
            <c:strRef>
              <c:f>Abaco!$B$52</c:f>
              <c:strCache>
                <c:ptCount val="1"/>
                <c:pt idx="0">
                  <c:v>Ø = 59 mm</c:v>
                </c:pt>
              </c:strCache>
            </c:strRef>
          </c:tx>
          <c:xVal>
            <c:numRef>
              <c:f>Abaco!$D$52:$D$60</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Abaco!$M$52:$M$60</c:f>
              <c:numCache>
                <c:formatCode>General" s"</c:formatCode>
                <c:ptCount val="9"/>
                <c:pt idx="0">
                  <c:v>5.721752110816567</c:v>
                </c:pt>
                <c:pt idx="1">
                  <c:v>7.3006617750637091</c:v>
                </c:pt>
                <c:pt idx="2">
                  <c:v>8.1280013944666418</c:v>
                </c:pt>
                <c:pt idx="3">
                  <c:v>8.4474719683883155</c:v>
                </c:pt>
                <c:pt idx="4">
                  <c:v>8.3919029947632193</c:v>
                </c:pt>
                <c:pt idx="5">
                  <c:v>8.0827353954416061</c:v>
                </c:pt>
                <c:pt idx="6">
                  <c:v>7.6294577562715293</c:v>
                </c:pt>
                <c:pt idx="7">
                  <c:v>7.1170599716527496</c:v>
                </c:pt>
                <c:pt idx="8">
                  <c:v>6.6011831649962405</c:v>
                </c:pt>
              </c:numCache>
            </c:numRef>
          </c:yVal>
          <c:smooth val="0"/>
          <c:extLst>
            <c:ext xmlns:c16="http://schemas.microsoft.com/office/drawing/2014/chart" uri="{C3380CC4-5D6E-409C-BE32-E72D297353CC}">
              <c16:uniqueId val="{00000001-DDCF-44BB-899F-3EC11CCF873C}"/>
            </c:ext>
          </c:extLst>
        </c:ser>
        <c:ser>
          <c:idx val="2"/>
          <c:order val="2"/>
          <c:tx>
            <c:strRef>
              <c:f>Abaco!$B$61</c:f>
              <c:strCache>
                <c:ptCount val="1"/>
                <c:pt idx="0">
                  <c:v>Ø = 89 mm</c:v>
                </c:pt>
              </c:strCache>
            </c:strRef>
          </c:tx>
          <c:xVal>
            <c:numRef>
              <c:f>Abaco!$D$61:$D$69</c:f>
              <c:numCache>
                <c:formatCode>General\ "kg"</c:formatCode>
                <c:ptCount val="9"/>
                <c:pt idx="0">
                  <c:v>9.9000000000000005E-2</c:v>
                </c:pt>
                <c:pt idx="1">
                  <c:v>0.18875</c:v>
                </c:pt>
                <c:pt idx="2">
                  <c:v>0.27849999999999997</c:v>
                </c:pt>
                <c:pt idx="3">
                  <c:v>0.36824999999999997</c:v>
                </c:pt>
                <c:pt idx="4">
                  <c:v>0.45799999999999996</c:v>
                </c:pt>
                <c:pt idx="5">
                  <c:v>0.54774999999999996</c:v>
                </c:pt>
                <c:pt idx="6">
                  <c:v>0.63749999999999996</c:v>
                </c:pt>
                <c:pt idx="7">
                  <c:v>0.72724999999999995</c:v>
                </c:pt>
                <c:pt idx="8">
                  <c:v>0.81699999999999995</c:v>
                </c:pt>
              </c:numCache>
            </c:numRef>
          </c:xVal>
          <c:yVal>
            <c:numRef>
              <c:f>Abaco!$M$61:$M$69</c:f>
              <c:numCache>
                <c:formatCode>General" s"</c:formatCode>
                <c:ptCount val="9"/>
                <c:pt idx="0">
                  <c:v>4.4813422165491339</c:v>
                </c:pt>
                <c:pt idx="1">
                  <c:v>5.5574328820965615</c:v>
                </c:pt>
                <c:pt idx="2">
                  <c:v>6.2093644109135342</c:v>
                </c:pt>
                <c:pt idx="3">
                  <c:v>6.5918129017436806</c:v>
                </c:pt>
                <c:pt idx="4">
                  <c:v>6.7561914571227861</c:v>
                </c:pt>
                <c:pt idx="5">
                  <c:v>6.7428983837562351</c:v>
                </c:pt>
                <c:pt idx="6">
                  <c:v>6.5933163282302072</c:v>
                </c:pt>
                <c:pt idx="7">
                  <c:v>6.3491082123900444</c:v>
                </c:pt>
                <c:pt idx="8">
                  <c:v>6.0482034665383564</c:v>
                </c:pt>
              </c:numCache>
            </c:numRef>
          </c:yVal>
          <c:smooth val="0"/>
          <c:extLst>
            <c:ext xmlns:c16="http://schemas.microsoft.com/office/drawing/2014/chart" uri="{C3380CC4-5D6E-409C-BE32-E72D297353CC}">
              <c16:uniqueId val="{00000002-DDCF-44BB-899F-3EC11CCF873C}"/>
            </c:ext>
          </c:extLst>
        </c:ser>
        <c:dLbls>
          <c:showLegendKey val="0"/>
          <c:showVal val="0"/>
          <c:showCatName val="0"/>
          <c:showSerName val="0"/>
          <c:showPercent val="0"/>
          <c:showBubbleSize val="0"/>
        </c:dLbls>
        <c:axId val="195678976"/>
        <c:axId val="195680896"/>
      </c:scatterChart>
      <c:valAx>
        <c:axId val="195678976"/>
        <c:scaling>
          <c:orientation val="minMax"/>
        </c:scaling>
        <c:delete val="0"/>
        <c:axPos val="b"/>
        <c:majorGridlines/>
        <c:title>
          <c:tx>
            <c:strRef>
              <c:f>Abaco!$B$75</c:f>
              <c:strCache>
                <c:ptCount val="1"/>
                <c:pt idx="0">
                  <c:v>Masse totale</c:v>
                </c:pt>
              </c:strCache>
            </c:strRef>
          </c:tx>
          <c:layout>
            <c:manualLayout>
              <c:xMode val="edge"/>
              <c:yMode val="edge"/>
              <c:x val="0.25133794251328334"/>
              <c:y val="0.8092359976229385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 &quot;kg&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5680896"/>
        <c:crosses val="autoZero"/>
        <c:crossBetween val="midCat"/>
      </c:valAx>
      <c:valAx>
        <c:axId val="195680896"/>
        <c:scaling>
          <c:orientation val="minMax"/>
        </c:scaling>
        <c:delete val="0"/>
        <c:axPos val="l"/>
        <c:majorGridlines/>
        <c:title>
          <c:tx>
            <c:strRef>
              <c:f>Abaco!$B$80</c:f>
              <c:strCache>
                <c:ptCount val="1"/>
                <c:pt idx="0">
                  <c:v>Temps de culmination</c:v>
                </c:pt>
              </c:strCache>
            </c:strRef>
          </c:tx>
          <c:layout>
            <c:manualLayout>
              <c:xMode val="edge"/>
              <c:yMode val="edge"/>
              <c:x val="0.14166677336064695"/>
              <c:y val="5.8034467389689502E-2"/>
            </c:manualLayout>
          </c:layout>
          <c:overlay val="0"/>
          <c:txPr>
            <a:bodyPr/>
            <a:lstStyle/>
            <a:p>
              <a:pPr>
                <a:defRPr sz="1000" b="1" i="0" u="none" strike="noStrike" baseline="0">
                  <a:solidFill>
                    <a:srgbClr val="000000"/>
                  </a:solidFill>
                  <a:latin typeface="Calibri"/>
                  <a:ea typeface="Calibri"/>
                  <a:cs typeface="Calibri"/>
                </a:defRPr>
              </a:pPr>
              <a:endParaRPr lang="fr-FR"/>
            </a:p>
          </c:txPr>
        </c:title>
        <c:numFmt formatCode="General&quot; s&quot;"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5678976"/>
        <c:crosses val="autoZero"/>
        <c:crossBetween val="midCat"/>
      </c:valAx>
    </c:plotArea>
    <c:legend>
      <c:legendPos val="r"/>
      <c:layout>
        <c:manualLayout>
          <c:xMode val="edge"/>
          <c:yMode val="edge"/>
          <c:x val="0.72357744916031841"/>
          <c:y val="0.18396263556678061"/>
          <c:w val="0.20325203252032525"/>
          <c:h val="0.25235886198187502"/>
        </c:manualLayout>
      </c:layout>
      <c:overlay val="0"/>
      <c:spPr>
        <a:solidFill>
          <a:schemeClr val="bg1"/>
        </a:solidFill>
      </c:spPr>
      <c:txPr>
        <a:bodyPr/>
        <a:lstStyle/>
        <a:p>
          <a:pPr>
            <a:defRPr sz="92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2" l="0.70000000000000062" r="0.70000000000000062" t="0.75000000000000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Stabilito!$B$117</c:f>
          <c:strCache>
            <c:ptCount val="1"/>
            <c:pt idx="0">
              <c:v>Diagramme des critères de stabilité</c:v>
            </c:pt>
          </c:strCache>
        </c:strRef>
      </c:tx>
      <c:layout>
        <c:manualLayout>
          <c:xMode val="edge"/>
          <c:yMode val="edge"/>
          <c:x val="0.19620910443519407"/>
          <c:y val="8.0214173228346466E-2"/>
        </c:manualLayout>
      </c:layout>
      <c:overlay val="0"/>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fr-FR"/>
        </a:p>
      </c:txPr>
    </c:title>
    <c:autoTitleDeleted val="0"/>
    <c:plotArea>
      <c:layout>
        <c:manualLayout>
          <c:layoutTarget val="inner"/>
          <c:xMode val="edge"/>
          <c:yMode val="edge"/>
          <c:x val="4.5092838196286504E-2"/>
          <c:y val="5.8823683008029475E-2"/>
          <c:w val="0.93899204244031864"/>
          <c:h val="0.82887916965859743"/>
        </c:manualLayout>
      </c:layout>
      <c:scatterChart>
        <c:scatterStyle val="smoothMarker"/>
        <c:varyColors val="0"/>
        <c:ser>
          <c:idx val="0"/>
          <c:order val="0"/>
          <c:tx>
            <c:v>Cna min</c:v>
          </c:tx>
          <c:spPr>
            <a:ln w="12700">
              <a:solidFill>
                <a:srgbClr val="FF0000"/>
              </a:solidFill>
              <a:prstDash val="solid"/>
            </a:ln>
          </c:spPr>
          <c:marker>
            <c:symbol val="none"/>
          </c:marker>
          <c:xVal>
            <c:numRef>
              <c:f>Stabilito!$B$182:$B$183</c:f>
              <c:numCache>
                <c:formatCode>General</c:formatCode>
                <c:ptCount val="2"/>
                <c:pt idx="0">
                  <c:v>0</c:v>
                </c:pt>
                <c:pt idx="1">
                  <c:v>7</c:v>
                </c:pt>
              </c:numCache>
            </c:numRef>
          </c:xVal>
          <c:yVal>
            <c:numRef>
              <c:f>Stabilito!$C$182:$C$183</c:f>
              <c:numCache>
                <c:formatCode>General</c:formatCode>
                <c:ptCount val="2"/>
                <c:pt idx="0">
                  <c:v>15</c:v>
                </c:pt>
                <c:pt idx="1">
                  <c:v>15</c:v>
                </c:pt>
              </c:numCache>
            </c:numRef>
          </c:yVal>
          <c:smooth val="1"/>
          <c:extLst>
            <c:ext xmlns:c16="http://schemas.microsoft.com/office/drawing/2014/chart" uri="{C3380CC4-5D6E-409C-BE32-E72D297353CC}">
              <c16:uniqueId val="{00000000-DD97-4068-951F-4990D529CDCA}"/>
            </c:ext>
          </c:extLst>
        </c:ser>
        <c:ser>
          <c:idx val="1"/>
          <c:order val="1"/>
          <c:tx>
            <c:v>Cna max</c:v>
          </c:tx>
          <c:spPr>
            <a:ln w="12700">
              <a:solidFill>
                <a:srgbClr val="FF0000"/>
              </a:solidFill>
              <a:prstDash val="solid"/>
            </a:ln>
          </c:spPr>
          <c:marker>
            <c:symbol val="none"/>
          </c:marker>
          <c:xVal>
            <c:numRef>
              <c:f>Stabilito!$B$184:$B$185</c:f>
              <c:numCache>
                <c:formatCode>General</c:formatCode>
                <c:ptCount val="2"/>
                <c:pt idx="0">
                  <c:v>0</c:v>
                </c:pt>
                <c:pt idx="1">
                  <c:v>7</c:v>
                </c:pt>
              </c:numCache>
            </c:numRef>
          </c:xVal>
          <c:yVal>
            <c:numRef>
              <c:f>Stabilito!$C$184:$C$185</c:f>
              <c:numCache>
                <c:formatCode>General</c:formatCode>
                <c:ptCount val="2"/>
                <c:pt idx="0">
                  <c:v>30</c:v>
                </c:pt>
                <c:pt idx="1">
                  <c:v>30</c:v>
                </c:pt>
              </c:numCache>
            </c:numRef>
          </c:yVal>
          <c:smooth val="1"/>
          <c:extLst>
            <c:ext xmlns:c16="http://schemas.microsoft.com/office/drawing/2014/chart" uri="{C3380CC4-5D6E-409C-BE32-E72D297353CC}">
              <c16:uniqueId val="{00000001-DD97-4068-951F-4990D529CDCA}"/>
            </c:ext>
          </c:extLst>
        </c:ser>
        <c:ser>
          <c:idx val="2"/>
          <c:order val="2"/>
          <c:tx>
            <c:v>MS min</c:v>
          </c:tx>
          <c:spPr>
            <a:ln w="12700">
              <a:solidFill>
                <a:srgbClr val="FF0000"/>
              </a:solidFill>
              <a:prstDash val="solid"/>
            </a:ln>
          </c:spPr>
          <c:marker>
            <c:symbol val="none"/>
          </c:marker>
          <c:xVal>
            <c:numRef>
              <c:f>Stabilito!$B$186:$B$187</c:f>
              <c:numCache>
                <c:formatCode>General</c:formatCode>
                <c:ptCount val="2"/>
                <c:pt idx="0">
                  <c:v>1.5</c:v>
                </c:pt>
                <c:pt idx="1">
                  <c:v>1.5</c:v>
                </c:pt>
              </c:numCache>
            </c:numRef>
          </c:xVal>
          <c:yVal>
            <c:numRef>
              <c:f>Stabilito!$C$186:$C$187</c:f>
              <c:numCache>
                <c:formatCode>General</c:formatCode>
                <c:ptCount val="2"/>
                <c:pt idx="0">
                  <c:v>0</c:v>
                </c:pt>
                <c:pt idx="1">
                  <c:v>55</c:v>
                </c:pt>
              </c:numCache>
            </c:numRef>
          </c:yVal>
          <c:smooth val="1"/>
          <c:extLst>
            <c:ext xmlns:c16="http://schemas.microsoft.com/office/drawing/2014/chart" uri="{C3380CC4-5D6E-409C-BE32-E72D297353CC}">
              <c16:uniqueId val="{00000002-DD97-4068-951F-4990D529CDCA}"/>
            </c:ext>
          </c:extLst>
        </c:ser>
        <c:ser>
          <c:idx val="3"/>
          <c:order val="3"/>
          <c:tx>
            <c:v>MS max</c:v>
          </c:tx>
          <c:spPr>
            <a:ln w="12700">
              <a:solidFill>
                <a:srgbClr val="FF0000"/>
              </a:solidFill>
              <a:prstDash val="solid"/>
            </a:ln>
          </c:spPr>
          <c:marker>
            <c:symbol val="none"/>
          </c:marker>
          <c:xVal>
            <c:numRef>
              <c:f>Stabilito!$B$188:$B$189</c:f>
              <c:numCache>
                <c:formatCode>General</c:formatCode>
                <c:ptCount val="2"/>
                <c:pt idx="0">
                  <c:v>6</c:v>
                </c:pt>
                <c:pt idx="1">
                  <c:v>6</c:v>
                </c:pt>
              </c:numCache>
            </c:numRef>
          </c:xVal>
          <c:yVal>
            <c:numRef>
              <c:f>Stabilito!$C$188:$C$189</c:f>
              <c:numCache>
                <c:formatCode>General</c:formatCode>
                <c:ptCount val="2"/>
                <c:pt idx="0">
                  <c:v>0</c:v>
                </c:pt>
                <c:pt idx="1">
                  <c:v>55</c:v>
                </c:pt>
              </c:numCache>
            </c:numRef>
          </c:yVal>
          <c:smooth val="1"/>
          <c:extLst>
            <c:ext xmlns:c16="http://schemas.microsoft.com/office/drawing/2014/chart" uri="{C3380CC4-5D6E-409C-BE32-E72D297353CC}">
              <c16:uniqueId val="{00000003-DD97-4068-951F-4990D529CDCA}"/>
            </c:ext>
          </c:extLst>
        </c:ser>
        <c:ser>
          <c:idx val="5"/>
          <c:order val="6"/>
          <c:tx>
            <c:v>MS*Cna min</c:v>
          </c:tx>
          <c:spPr>
            <a:ln w="12700">
              <a:solidFill>
                <a:srgbClr val="FF0000"/>
              </a:solidFill>
              <a:prstDash val="solid"/>
            </a:ln>
          </c:spPr>
          <c:marker>
            <c:symbol val="none"/>
          </c:marker>
          <c:xVal>
            <c:numRef>
              <c:f>Stabilito!$D$182:$D$187</c:f>
              <c:numCache>
                <c:formatCode>General</c:formatCode>
                <c:ptCount val="6"/>
                <c:pt idx="0">
                  <c:v>0.5</c:v>
                </c:pt>
                <c:pt idx="1">
                  <c:v>1</c:v>
                </c:pt>
                <c:pt idx="2">
                  <c:v>2</c:v>
                </c:pt>
                <c:pt idx="3">
                  <c:v>3</c:v>
                </c:pt>
                <c:pt idx="4">
                  <c:v>5</c:v>
                </c:pt>
                <c:pt idx="5">
                  <c:v>7</c:v>
                </c:pt>
              </c:numCache>
            </c:numRef>
          </c:xVal>
          <c:yVal>
            <c:numRef>
              <c:f>Stabilito!$E$182:$E$187</c:f>
              <c:numCache>
                <c:formatCode>General</c:formatCode>
                <c:ptCount val="6"/>
                <c:pt idx="0">
                  <c:v>60</c:v>
                </c:pt>
                <c:pt idx="1">
                  <c:v>30</c:v>
                </c:pt>
                <c:pt idx="2">
                  <c:v>15</c:v>
                </c:pt>
                <c:pt idx="3">
                  <c:v>10</c:v>
                </c:pt>
                <c:pt idx="4">
                  <c:v>6</c:v>
                </c:pt>
                <c:pt idx="5">
                  <c:v>4.2857142857142856</c:v>
                </c:pt>
              </c:numCache>
            </c:numRef>
          </c:yVal>
          <c:smooth val="1"/>
          <c:extLst>
            <c:ext xmlns:c16="http://schemas.microsoft.com/office/drawing/2014/chart" uri="{C3380CC4-5D6E-409C-BE32-E72D297353CC}">
              <c16:uniqueId val="{00000004-DD97-4068-951F-4990D529CDCA}"/>
            </c:ext>
          </c:extLst>
        </c:ser>
        <c:ser>
          <c:idx val="6"/>
          <c:order val="7"/>
          <c:tx>
            <c:v>MS*Cna max</c:v>
          </c:tx>
          <c:spPr>
            <a:ln w="12700">
              <a:solidFill>
                <a:srgbClr val="FF0000"/>
              </a:solidFill>
              <a:prstDash val="solid"/>
            </a:ln>
          </c:spPr>
          <c:marker>
            <c:symbol val="none"/>
          </c:marker>
          <c:xVal>
            <c:numRef>
              <c:f>Stabilito!$D$188:$D$193</c:f>
              <c:numCache>
                <c:formatCode>General</c:formatCode>
                <c:ptCount val="6"/>
                <c:pt idx="0">
                  <c:v>1</c:v>
                </c:pt>
                <c:pt idx="1">
                  <c:v>2</c:v>
                </c:pt>
                <c:pt idx="2">
                  <c:v>3</c:v>
                </c:pt>
                <c:pt idx="3">
                  <c:v>4</c:v>
                </c:pt>
                <c:pt idx="4">
                  <c:v>6</c:v>
                </c:pt>
                <c:pt idx="5">
                  <c:v>7</c:v>
                </c:pt>
              </c:numCache>
            </c:numRef>
          </c:xVal>
          <c:yVal>
            <c:numRef>
              <c:f>Stabilito!$E$188:$E$193</c:f>
              <c:numCache>
                <c:formatCode>General</c:formatCode>
                <c:ptCount val="6"/>
                <c:pt idx="0">
                  <c:v>100</c:v>
                </c:pt>
                <c:pt idx="1">
                  <c:v>50</c:v>
                </c:pt>
                <c:pt idx="2">
                  <c:v>33.333333333333336</c:v>
                </c:pt>
                <c:pt idx="3">
                  <c:v>25</c:v>
                </c:pt>
                <c:pt idx="4">
                  <c:v>16.666666666666668</c:v>
                </c:pt>
                <c:pt idx="5">
                  <c:v>14.285714285714286</c:v>
                </c:pt>
              </c:numCache>
            </c:numRef>
          </c:yVal>
          <c:smooth val="1"/>
          <c:extLst>
            <c:ext xmlns:c16="http://schemas.microsoft.com/office/drawing/2014/chart" uri="{C3380CC4-5D6E-409C-BE32-E72D297353CC}">
              <c16:uniqueId val="{00000005-DD97-4068-951F-4990D529CDCA}"/>
            </c:ext>
          </c:extLst>
        </c:ser>
        <c:ser>
          <c:idx val="7"/>
          <c:order val="8"/>
          <c:tx>
            <c:v>Cna moy</c:v>
          </c:tx>
          <c:spPr>
            <a:ln w="12700">
              <a:solidFill>
                <a:srgbClr val="FF0000"/>
              </a:solidFill>
              <a:prstDash val="solid"/>
            </a:ln>
          </c:spPr>
          <c:marker>
            <c:symbol val="none"/>
          </c:marker>
          <c:xVal>
            <c:numRef>
              <c:f>Stabilito!$B$195:$B$196</c:f>
              <c:numCache>
                <c:formatCode>General</c:formatCode>
                <c:ptCount val="2"/>
                <c:pt idx="0">
                  <c:v>0</c:v>
                </c:pt>
                <c:pt idx="1">
                  <c:v>1.5</c:v>
                </c:pt>
              </c:numCache>
            </c:numRef>
          </c:xVal>
          <c:yVal>
            <c:numRef>
              <c:f>Stabilito!$C$195:$C$196</c:f>
              <c:numCache>
                <c:formatCode>General</c:formatCode>
                <c:ptCount val="2"/>
                <c:pt idx="0">
                  <c:v>22.5</c:v>
                </c:pt>
                <c:pt idx="1">
                  <c:v>22.5</c:v>
                </c:pt>
              </c:numCache>
            </c:numRef>
          </c:yVal>
          <c:smooth val="1"/>
          <c:extLst>
            <c:ext xmlns:c16="http://schemas.microsoft.com/office/drawing/2014/chart" uri="{C3380CC4-5D6E-409C-BE32-E72D297353CC}">
              <c16:uniqueId val="{00000006-DD97-4068-951F-4990D529CDCA}"/>
            </c:ext>
          </c:extLst>
        </c:ser>
        <c:ser>
          <c:idx val="8"/>
          <c:order val="9"/>
          <c:tx>
            <c:v>Cna moy2</c:v>
          </c:tx>
          <c:spPr>
            <a:ln w="12700">
              <a:solidFill>
                <a:srgbClr val="FF0000"/>
              </a:solidFill>
              <a:prstDash val="solid"/>
            </a:ln>
          </c:spPr>
          <c:marker>
            <c:symbol val="none"/>
          </c:marker>
          <c:xVal>
            <c:numRef>
              <c:f>Stabilito!$B$197:$B$198</c:f>
              <c:numCache>
                <c:formatCode>General</c:formatCode>
                <c:ptCount val="2"/>
                <c:pt idx="0">
                  <c:v>4.4444444444444446</c:v>
                </c:pt>
                <c:pt idx="1">
                  <c:v>7</c:v>
                </c:pt>
              </c:numCache>
            </c:numRef>
          </c:xVal>
          <c:yVal>
            <c:numRef>
              <c:f>Stabilito!$C$197:$C$198</c:f>
              <c:numCache>
                <c:formatCode>General</c:formatCode>
                <c:ptCount val="2"/>
                <c:pt idx="0">
                  <c:v>22.5</c:v>
                </c:pt>
                <c:pt idx="1">
                  <c:v>22.5</c:v>
                </c:pt>
              </c:numCache>
            </c:numRef>
          </c:yVal>
          <c:smooth val="1"/>
          <c:extLst>
            <c:ext xmlns:c16="http://schemas.microsoft.com/office/drawing/2014/chart" uri="{C3380CC4-5D6E-409C-BE32-E72D297353CC}">
              <c16:uniqueId val="{00000007-DD97-4068-951F-4990D529CDCA}"/>
            </c:ext>
          </c:extLst>
        </c:ser>
        <c:ser>
          <c:idx val="9"/>
          <c:order val="10"/>
          <c:tx>
            <c:v>MS moy</c:v>
          </c:tx>
          <c:spPr>
            <a:ln w="12700">
              <a:solidFill>
                <a:srgbClr val="FF0000"/>
              </a:solidFill>
              <a:prstDash val="solid"/>
            </a:ln>
          </c:spPr>
          <c:marker>
            <c:symbol val="none"/>
          </c:marker>
          <c:xVal>
            <c:numRef>
              <c:f>Stabilito!$B$199:$B$200</c:f>
              <c:numCache>
                <c:formatCode>General</c:formatCode>
                <c:ptCount val="2"/>
                <c:pt idx="0">
                  <c:v>3.75</c:v>
                </c:pt>
                <c:pt idx="1">
                  <c:v>3.75</c:v>
                </c:pt>
              </c:numCache>
            </c:numRef>
          </c:xVal>
          <c:yVal>
            <c:numRef>
              <c:f>Stabilito!$C$199:$C$200</c:f>
              <c:numCache>
                <c:formatCode>General</c:formatCode>
                <c:ptCount val="2"/>
                <c:pt idx="0">
                  <c:v>0</c:v>
                </c:pt>
                <c:pt idx="1">
                  <c:v>15</c:v>
                </c:pt>
              </c:numCache>
            </c:numRef>
          </c:yVal>
          <c:smooth val="1"/>
          <c:extLst>
            <c:ext xmlns:c16="http://schemas.microsoft.com/office/drawing/2014/chart" uri="{C3380CC4-5D6E-409C-BE32-E72D297353CC}">
              <c16:uniqueId val="{00000008-DD97-4068-951F-4990D529CDCA}"/>
            </c:ext>
          </c:extLst>
        </c:ser>
        <c:ser>
          <c:idx val="10"/>
          <c:order val="11"/>
          <c:tx>
            <c:v>MS moy2</c:v>
          </c:tx>
          <c:spPr>
            <a:ln w="12700">
              <a:solidFill>
                <a:srgbClr val="FF0000"/>
              </a:solidFill>
              <a:prstDash val="solid"/>
            </a:ln>
          </c:spPr>
          <c:marker>
            <c:symbol val="none"/>
          </c:marker>
          <c:xVal>
            <c:numRef>
              <c:f>Stabilito!$B$201:$B$202</c:f>
              <c:numCache>
                <c:formatCode>General</c:formatCode>
                <c:ptCount val="2"/>
                <c:pt idx="0">
                  <c:v>3.75</c:v>
                </c:pt>
                <c:pt idx="1">
                  <c:v>3.75</c:v>
                </c:pt>
              </c:numCache>
            </c:numRef>
          </c:xVal>
          <c:yVal>
            <c:numRef>
              <c:f>Stabilito!$C$201:$C$202</c:f>
              <c:numCache>
                <c:formatCode>General</c:formatCode>
                <c:ptCount val="2"/>
                <c:pt idx="0">
                  <c:v>26.666666666666668</c:v>
                </c:pt>
                <c:pt idx="1">
                  <c:v>55</c:v>
                </c:pt>
              </c:numCache>
            </c:numRef>
          </c:yVal>
          <c:smooth val="1"/>
          <c:extLst>
            <c:ext xmlns:c16="http://schemas.microsoft.com/office/drawing/2014/chart" uri="{C3380CC4-5D6E-409C-BE32-E72D297353CC}">
              <c16:uniqueId val="{00000009-DD97-4068-951F-4990D529CDCA}"/>
            </c:ext>
          </c:extLst>
        </c:ser>
        <c:dLbls>
          <c:showLegendKey val="0"/>
          <c:showVal val="0"/>
          <c:showCatName val="0"/>
          <c:showSerName val="0"/>
          <c:showPercent val="0"/>
          <c:showBubbleSize val="0"/>
        </c:dLbls>
        <c:axId val="148471168"/>
        <c:axId val="148481536"/>
      </c:scatterChart>
      <c:scatterChart>
        <c:scatterStyle val="lineMarker"/>
        <c:varyColors val="0"/>
        <c:ser>
          <c:idx val="4"/>
          <c:order val="4"/>
          <c:tx>
            <c:v>Fusée en cours</c:v>
          </c:tx>
          <c:spPr>
            <a:ln w="25400">
              <a:solidFill>
                <a:schemeClr val="tx1"/>
              </a:solidFill>
            </a:ln>
          </c:spPr>
          <c:marker>
            <c:symbol val="diamond"/>
            <c:size val="7"/>
            <c:spPr>
              <a:solidFill>
                <a:schemeClr val="tx1"/>
              </a:solidFill>
              <a:ln>
                <a:noFill/>
              </a:ln>
            </c:spPr>
          </c:marker>
          <c:xVal>
            <c:numRef>
              <c:f>Stabilito!$B$190:$B$193</c:f>
              <c:numCache>
                <c:formatCode>0.00</c:formatCode>
                <c:ptCount val="4"/>
                <c:pt idx="0">
                  <c:v>2.9683187218483851</c:v>
                </c:pt>
                <c:pt idx="1">
                  <c:v>2.9683187218483851</c:v>
                </c:pt>
                <c:pt idx="2">
                  <c:v>3.27021316227051</c:v>
                </c:pt>
                <c:pt idx="3">
                  <c:v>3.27021316227051</c:v>
                </c:pt>
              </c:numCache>
            </c:numRef>
          </c:xVal>
          <c:yVal>
            <c:numRef>
              <c:f>Stabilito!$C$190:$C$193</c:f>
              <c:numCache>
                <c:formatCode>0.00</c:formatCode>
                <c:ptCount val="4"/>
                <c:pt idx="0">
                  <c:v>21.497524281832401</c:v>
                </c:pt>
                <c:pt idx="1">
                  <c:v>21.497524281832401</c:v>
                </c:pt>
                <c:pt idx="2">
                  <c:v>21.497524281832401</c:v>
                </c:pt>
                <c:pt idx="3">
                  <c:v>21.497524281832401</c:v>
                </c:pt>
              </c:numCache>
            </c:numRef>
          </c:yVal>
          <c:smooth val="0"/>
          <c:extLst>
            <c:ext xmlns:c16="http://schemas.microsoft.com/office/drawing/2014/chart" uri="{C3380CC4-5D6E-409C-BE32-E72D297353CC}">
              <c16:uniqueId val="{0000000A-DD97-4068-951F-4990D529CDCA}"/>
            </c:ext>
          </c:extLst>
        </c:ser>
        <c:ser>
          <c:idx val="11"/>
          <c:order val="5"/>
          <c:tx>
            <c:v>Fusée en cours0</c:v>
          </c:tx>
          <c:spPr>
            <a:ln w="25400">
              <a:solidFill>
                <a:schemeClr val="tx1"/>
              </a:solidFill>
            </a:ln>
          </c:spPr>
          <c:marker>
            <c:symbol val="none"/>
          </c:marker>
          <c:xVal>
            <c:numRef>
              <c:f>Stabilito!$B$193:$B$194</c:f>
              <c:numCache>
                <c:formatCode>0.00</c:formatCode>
                <c:ptCount val="2"/>
                <c:pt idx="0">
                  <c:v>3.27021316227051</c:v>
                </c:pt>
                <c:pt idx="1">
                  <c:v>2.9683187218483851</c:v>
                </c:pt>
              </c:numCache>
            </c:numRef>
          </c:xVal>
          <c:yVal>
            <c:numRef>
              <c:f>Stabilito!$C$193:$C$194</c:f>
              <c:numCache>
                <c:formatCode>0.00</c:formatCode>
                <c:ptCount val="2"/>
                <c:pt idx="0">
                  <c:v>21.497524281832401</c:v>
                </c:pt>
                <c:pt idx="1">
                  <c:v>21.497524281832401</c:v>
                </c:pt>
              </c:numCache>
            </c:numRef>
          </c:yVal>
          <c:smooth val="0"/>
          <c:extLst>
            <c:ext xmlns:c16="http://schemas.microsoft.com/office/drawing/2014/chart" uri="{C3380CC4-5D6E-409C-BE32-E72D297353CC}">
              <c16:uniqueId val="{0000000B-DD97-4068-951F-4990D529CDCA}"/>
            </c:ext>
          </c:extLst>
        </c:ser>
        <c:dLbls>
          <c:showLegendKey val="0"/>
          <c:showVal val="0"/>
          <c:showCatName val="0"/>
          <c:showSerName val="0"/>
          <c:showPercent val="0"/>
          <c:showBubbleSize val="0"/>
        </c:dLbls>
        <c:axId val="148471168"/>
        <c:axId val="148481536"/>
      </c:scatterChart>
      <c:valAx>
        <c:axId val="148471168"/>
        <c:scaling>
          <c:orientation val="minMax"/>
          <c:max val="7"/>
          <c:min val="0"/>
        </c:scaling>
        <c:delete val="0"/>
        <c:axPos val="b"/>
        <c:title>
          <c:tx>
            <c:strRef>
              <c:f>Stabilito!$B$118</c:f>
              <c:strCache>
                <c:ptCount val="1"/>
                <c:pt idx="0">
                  <c:v>Marge Statique (MS)</c:v>
                </c:pt>
              </c:strCache>
            </c:strRef>
          </c:tx>
          <c:layout>
            <c:manualLayout>
              <c:xMode val="edge"/>
              <c:yMode val="edge"/>
              <c:x val="0.51717271009913568"/>
              <c:y val="0.73094047244094495"/>
            </c:manualLayout>
          </c:layout>
          <c:overlay val="0"/>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fr-FR"/>
            </a:p>
          </c:tx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8481536"/>
        <c:crosses val="autoZero"/>
        <c:crossBetween val="midCat"/>
      </c:valAx>
      <c:valAx>
        <c:axId val="148481536"/>
        <c:scaling>
          <c:orientation val="minMax"/>
          <c:max val="55"/>
          <c:min val="0"/>
        </c:scaling>
        <c:delete val="0"/>
        <c:axPos val="l"/>
        <c:title>
          <c:tx>
            <c:strRef>
              <c:f>Stabilito!$B$119</c:f>
              <c:strCache>
                <c:ptCount val="1"/>
                <c:pt idx="0">
                  <c:v>Portance Cnα</c:v>
                </c:pt>
              </c:strCache>
            </c:strRef>
          </c:tx>
          <c:layout>
            <c:manualLayout>
              <c:xMode val="edge"/>
              <c:yMode val="edge"/>
              <c:x val="6.9119481083972797E-2"/>
              <c:y val="0.24099905511811029"/>
            </c:manualLayout>
          </c:layout>
          <c:overlay val="0"/>
          <c:spPr>
            <a:solidFill>
              <a:srgbClr val="FFFFFF"/>
            </a:solidFill>
            <a:ln w="25400">
              <a:noFill/>
            </a:ln>
          </c:spPr>
          <c:txPr>
            <a:bodyPr/>
            <a:lstStyle/>
            <a:p>
              <a:pPr>
                <a:defRPr sz="1000" b="0" i="0" u="none" strike="noStrike" baseline="0">
                  <a:solidFill>
                    <a:srgbClr val="000000"/>
                  </a:solidFill>
                  <a:latin typeface="Calibri"/>
                  <a:ea typeface="Calibri"/>
                  <a:cs typeface="Calibri"/>
                </a:defRPr>
              </a:pPr>
              <a:endParaRPr lang="fr-FR"/>
            </a:p>
          </c:txPr>
        </c:title>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8471168"/>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095" footer="0.4921259845000009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Trajecto!$B$111</c:f>
          <c:strCache>
            <c:ptCount val="1"/>
            <c:pt idx="0">
              <c:v>Trajectoire (x z)</c:v>
            </c:pt>
          </c:strCache>
        </c:strRef>
      </c:tx>
      <c:layout>
        <c:manualLayout>
          <c:xMode val="edge"/>
          <c:yMode val="edge"/>
          <c:x val="0.66868786671936287"/>
          <c:y val="3.8575744069727136E-2"/>
        </c:manualLayout>
      </c:layout>
      <c:overlay val="0"/>
      <c:spPr>
        <a:noFill/>
        <a:ln w="25400">
          <a:noFill/>
        </a:ln>
      </c:spPr>
      <c:txPr>
        <a:bodyPr/>
        <a:lstStyle/>
        <a:p>
          <a:pPr>
            <a:defRPr sz="800" b="1" i="0" u="none" strike="noStrike" baseline="0">
              <a:solidFill>
                <a:srgbClr val="0000FF"/>
              </a:solidFill>
              <a:latin typeface="Arial"/>
              <a:ea typeface="Arial"/>
              <a:cs typeface="Arial"/>
            </a:defRPr>
          </a:pPr>
          <a:endParaRPr lang="fr-FR"/>
        </a:p>
      </c:txPr>
    </c:title>
    <c:autoTitleDeleted val="0"/>
    <c:plotArea>
      <c:layout>
        <c:manualLayout>
          <c:layoutTarget val="inner"/>
          <c:xMode val="edge"/>
          <c:yMode val="edge"/>
          <c:x val="6.9697175950449913E-2"/>
          <c:y val="3.5608360198500402E-2"/>
          <c:w val="0.89697235136230857"/>
          <c:h val="0.89614373166225958"/>
        </c:manualLayout>
      </c:layout>
      <c:scatterChart>
        <c:scatterStyle val="lineMarker"/>
        <c:varyColors val="0"/>
        <c:ser>
          <c:idx val="0"/>
          <c:order val="0"/>
          <c:tx>
            <c:v>Point invisible pour mise à l'echelle</c:v>
          </c:tx>
          <c:spPr>
            <a:ln w="3175">
              <a:solidFill>
                <a:srgbClr val="99CCFF"/>
              </a:solidFill>
              <a:prstDash val="solid"/>
            </a:ln>
          </c:spPr>
          <c:marker>
            <c:symbol val="none"/>
          </c:marker>
          <c:xVal>
            <c:numRef>
              <c:f>Trajecto!$B$121</c:f>
              <c:numCache>
                <c:formatCode>0</c:formatCode>
                <c:ptCount val="1"/>
                <c:pt idx="0">
                  <c:v>296.10396047690489</c:v>
                </c:pt>
              </c:numCache>
            </c:numRef>
          </c:xVal>
          <c:yVal>
            <c:numRef>
              <c:f>Trajecto!$C$121</c:f>
              <c:numCache>
                <c:formatCode>0</c:formatCode>
                <c:ptCount val="1"/>
                <c:pt idx="0">
                  <c:v>296.10396047690489</c:v>
                </c:pt>
              </c:numCache>
            </c:numRef>
          </c:yVal>
          <c:smooth val="1"/>
          <c:extLst>
            <c:ext xmlns:c16="http://schemas.microsoft.com/office/drawing/2014/chart" uri="{C3380CC4-5D6E-409C-BE32-E72D297353CC}">
              <c16:uniqueId val="{00000000-432A-49A9-9499-7ED3E32DDB07}"/>
            </c:ext>
          </c:extLst>
        </c:ser>
        <c:ser>
          <c:idx val="1"/>
          <c:order val="1"/>
          <c:tx>
            <c:v>1 point par seconde</c:v>
          </c:tx>
          <c:spPr>
            <a:ln w="28575">
              <a:noFill/>
            </a:ln>
          </c:spPr>
          <c:marker>
            <c:symbol val="plus"/>
            <c:size val="7"/>
            <c:spPr>
              <a:noFill/>
              <a:ln>
                <a:solidFill>
                  <a:srgbClr val="000000"/>
                </a:solidFill>
                <a:prstDash val="solid"/>
              </a:ln>
            </c:spPr>
          </c:marker>
          <c:xVal>
            <c:numRef>
              <c:f>Calculs!$AD$4:$AD$1004</c:f>
              <c:numCache>
                <c:formatCode>0</c:formatCode>
                <c:ptCount val="1001"/>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11.601883570937048</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29.488333147172604</c:v>
                </c:pt>
                <c:pt idx="201">
                  <c:v>#N/A</c:v>
                </c:pt>
                <c:pt idx="202">
                  <c:v>#N/A</c:v>
                </c:pt>
                <c:pt idx="203">
                  <c:v>#N/A</c:v>
                </c:pt>
                <c:pt idx="204">
                  <c:v>#N/A</c:v>
                </c:pt>
                <c:pt idx="205">
                  <c:v>#N/A</c:v>
                </c:pt>
                <c:pt idx="206">
                  <c:v>#N/A</c:v>
                </c:pt>
                <c:pt idx="207">
                  <c:v>#N/A</c:v>
                </c:pt>
                <c:pt idx="208">
                  <c:v>#N/A</c:v>
                </c:pt>
                <c:pt idx="209">
                  <c:v>#N/A</c:v>
                </c:pt>
                <c:pt idx="210">
                  <c:v>43.796568536228769</c:v>
                </c:pt>
                <c:pt idx="211">
                  <c:v>#N/A</c:v>
                </c:pt>
                <c:pt idx="212">
                  <c:v>#N/A</c:v>
                </c:pt>
                <c:pt idx="213">
                  <c:v>#N/A</c:v>
                </c:pt>
                <c:pt idx="214">
                  <c:v>#N/A</c:v>
                </c:pt>
                <c:pt idx="215">
                  <c:v>#N/A</c:v>
                </c:pt>
                <c:pt idx="216">
                  <c:v>#N/A</c:v>
                </c:pt>
                <c:pt idx="217">
                  <c:v>#N/A</c:v>
                </c:pt>
                <c:pt idx="218">
                  <c:v>#N/A</c:v>
                </c:pt>
                <c:pt idx="219">
                  <c:v>#N/A</c:v>
                </c:pt>
                <c:pt idx="220">
                  <c:v>56.012062152765623</c:v>
                </c:pt>
                <c:pt idx="221">
                  <c:v>#N/A</c:v>
                </c:pt>
                <c:pt idx="222">
                  <c:v>#N/A</c:v>
                </c:pt>
                <c:pt idx="223">
                  <c:v>#N/A</c:v>
                </c:pt>
                <c:pt idx="224">
                  <c:v>#N/A</c:v>
                </c:pt>
                <c:pt idx="225">
                  <c:v>#N/A</c:v>
                </c:pt>
                <c:pt idx="226">
                  <c:v>#N/A</c:v>
                </c:pt>
                <c:pt idx="227">
                  <c:v>#N/A</c:v>
                </c:pt>
                <c:pt idx="228">
                  <c:v>#N/A</c:v>
                </c:pt>
                <c:pt idx="229">
                  <c:v>#N/A</c:v>
                </c:pt>
                <c:pt idx="230">
                  <c:v>66.953181345047909</c:v>
                </c:pt>
                <c:pt idx="231">
                  <c:v>#N/A</c:v>
                </c:pt>
                <c:pt idx="232">
                  <c:v>#N/A</c:v>
                </c:pt>
                <c:pt idx="233">
                  <c:v>#N/A</c:v>
                </c:pt>
                <c:pt idx="234">
                  <c:v>#N/A</c:v>
                </c:pt>
                <c:pt idx="235">
                  <c:v>#N/A</c:v>
                </c:pt>
                <c:pt idx="236">
                  <c:v>#N/A</c:v>
                </c:pt>
                <c:pt idx="237">
                  <c:v>#N/A</c:v>
                </c:pt>
                <c:pt idx="238">
                  <c:v>#N/A</c:v>
                </c:pt>
                <c:pt idx="239">
                  <c:v>#N/A</c:v>
                </c:pt>
                <c:pt idx="240">
                  <c:v>77.117121170930204</c:v>
                </c:pt>
                <c:pt idx="241">
                  <c:v>#N/A</c:v>
                </c:pt>
                <c:pt idx="242">
                  <c:v>#N/A</c:v>
                </c:pt>
                <c:pt idx="243">
                  <c:v>#N/A</c:v>
                </c:pt>
                <c:pt idx="244">
                  <c:v>#N/A</c:v>
                </c:pt>
                <c:pt idx="245">
                  <c:v>#N/A</c:v>
                </c:pt>
                <c:pt idx="246">
                  <c:v>#N/A</c:v>
                </c:pt>
                <c:pt idx="247">
                  <c:v>#N/A</c:v>
                </c:pt>
                <c:pt idx="248">
                  <c:v>#N/A</c:v>
                </c:pt>
                <c:pt idx="249">
                  <c:v>#N/A</c:v>
                </c:pt>
                <c:pt idx="250">
                  <c:v>86.828118452377439</c:v>
                </c:pt>
                <c:pt idx="251">
                  <c:v>#N/A</c:v>
                </c:pt>
                <c:pt idx="252">
                  <c:v>#N/A</c:v>
                </c:pt>
                <c:pt idx="253">
                  <c:v>#N/A</c:v>
                </c:pt>
                <c:pt idx="254">
                  <c:v>#N/A</c:v>
                </c:pt>
                <c:pt idx="255">
                  <c:v>#N/A</c:v>
                </c:pt>
                <c:pt idx="256">
                  <c:v>#N/A</c:v>
                </c:pt>
                <c:pt idx="257">
                  <c:v>#N/A</c:v>
                </c:pt>
                <c:pt idx="258">
                  <c:v>#N/A</c:v>
                </c:pt>
                <c:pt idx="259">
                  <c:v>#N/A</c:v>
                </c:pt>
                <c:pt idx="260">
                  <c:v>96.244846724568077</c:v>
                </c:pt>
                <c:pt idx="261">
                  <c:v>#N/A</c:v>
                </c:pt>
                <c:pt idx="262">
                  <c:v>#N/A</c:v>
                </c:pt>
                <c:pt idx="263">
                  <c:v>#N/A</c:v>
                </c:pt>
                <c:pt idx="264">
                  <c:v>#N/A</c:v>
                </c:pt>
                <c:pt idx="265">
                  <c:v>#N/A</c:v>
                </c:pt>
                <c:pt idx="266">
                  <c:v>#N/A</c:v>
                </c:pt>
                <c:pt idx="267">
                  <c:v>#N/A</c:v>
                </c:pt>
                <c:pt idx="268">
                  <c:v>#N/A</c:v>
                </c:pt>
                <c:pt idx="269">
                  <c:v>#N/A</c:v>
                </c:pt>
                <c:pt idx="270">
                  <c:v>105.31085027244065</c:v>
                </c:pt>
                <c:pt idx="271">
                  <c:v>#N/A</c:v>
                </c:pt>
                <c:pt idx="272">
                  <c:v>#N/A</c:v>
                </c:pt>
                <c:pt idx="273">
                  <c:v>#N/A</c:v>
                </c:pt>
                <c:pt idx="274">
                  <c:v>#N/A</c:v>
                </c:pt>
                <c:pt idx="275">
                  <c:v>#N/A</c:v>
                </c:pt>
                <c:pt idx="276">
                  <c:v>#N/A</c:v>
                </c:pt>
                <c:pt idx="277">
                  <c:v>#N/A</c:v>
                </c:pt>
                <c:pt idx="278">
                  <c:v>#N/A</c:v>
                </c:pt>
                <c:pt idx="279">
                  <c:v>#N/A</c:v>
                </c:pt>
                <c:pt idx="280">
                  <c:v>113.86299350295481</c:v>
                </c:pt>
                <c:pt idx="281">
                  <c:v>#N/A</c:v>
                </c:pt>
                <c:pt idx="282">
                  <c:v>#N/A</c:v>
                </c:pt>
                <c:pt idx="283">
                  <c:v>#N/A</c:v>
                </c:pt>
                <c:pt idx="284">
                  <c:v>#N/A</c:v>
                </c:pt>
                <c:pt idx="285">
                  <c:v>#N/A</c:v>
                </c:pt>
                <c:pt idx="286">
                  <c:v>#N/A</c:v>
                </c:pt>
                <c:pt idx="287">
                  <c:v>#N/A</c:v>
                </c:pt>
                <c:pt idx="288">
                  <c:v>#N/A</c:v>
                </c:pt>
                <c:pt idx="289">
                  <c:v>#N/A</c:v>
                </c:pt>
                <c:pt idx="290">
                  <c:v>121.7531469187975</c:v>
                </c:pt>
                <c:pt idx="291">
                  <c:v>#N/A</c:v>
                </c:pt>
                <c:pt idx="292">
                  <c:v>#N/A</c:v>
                </c:pt>
                <c:pt idx="293">
                  <c:v>#N/A</c:v>
                </c:pt>
                <c:pt idx="294">
                  <c:v>#N/A</c:v>
                </c:pt>
                <c:pt idx="295">
                  <c:v>#N/A</c:v>
                </c:pt>
                <c:pt idx="296">
                  <c:v>#N/A</c:v>
                </c:pt>
                <c:pt idx="297">
                  <c:v>#N/A</c:v>
                </c:pt>
                <c:pt idx="298">
                  <c:v>#N/A</c:v>
                </c:pt>
                <c:pt idx="299">
                  <c:v>#N/A</c:v>
                </c:pt>
                <c:pt idx="300">
                  <c:v>128.88628560841073</c:v>
                </c:pt>
                <c:pt idx="301">
                  <c:v>#N/A</c:v>
                </c:pt>
                <c:pt idx="302">
                  <c:v>#N/A</c:v>
                </c:pt>
                <c:pt idx="303">
                  <c:v>#N/A</c:v>
                </c:pt>
                <c:pt idx="304">
                  <c:v>#N/A</c:v>
                </c:pt>
                <c:pt idx="305">
                  <c:v>#N/A</c:v>
                </c:pt>
                <c:pt idx="306">
                  <c:v>#N/A</c:v>
                </c:pt>
                <c:pt idx="307">
                  <c:v>#N/A</c:v>
                </c:pt>
                <c:pt idx="308">
                  <c:v>#N/A</c:v>
                </c:pt>
                <c:pt idx="309">
                  <c:v>#N/A</c:v>
                </c:pt>
                <c:pt idx="310">
                  <c:v>135.22434582222334</c:v>
                </c:pt>
                <c:pt idx="311">
                  <c:v>#N/A</c:v>
                </c:pt>
                <c:pt idx="312">
                  <c:v>#N/A</c:v>
                </c:pt>
                <c:pt idx="313">
                  <c:v>#N/A</c:v>
                </c:pt>
                <c:pt idx="314">
                  <c:v>#N/A</c:v>
                </c:pt>
                <c:pt idx="315">
                  <c:v>#N/A</c:v>
                </c:pt>
                <c:pt idx="316">
                  <c:v>#N/A</c:v>
                </c:pt>
                <c:pt idx="317">
                  <c:v>#N/A</c:v>
                </c:pt>
                <c:pt idx="318">
                  <c:v>#N/A</c:v>
                </c:pt>
                <c:pt idx="319">
                  <c:v>#N/A</c:v>
                </c:pt>
                <c:pt idx="320">
                  <c:v>140.77681462919094</c:v>
                </c:pt>
                <c:pt idx="321">
                  <c:v>#N/A</c:v>
                </c:pt>
                <c:pt idx="322">
                  <c:v>#N/A</c:v>
                </c:pt>
                <c:pt idx="323">
                  <c:v>#N/A</c:v>
                </c:pt>
                <c:pt idx="324">
                  <c:v>#N/A</c:v>
                </c:pt>
                <c:pt idx="325">
                  <c:v>#N/A</c:v>
                </c:pt>
                <c:pt idx="326">
                  <c:v>#N/A</c:v>
                </c:pt>
                <c:pt idx="327">
                  <c:v>#N/A</c:v>
                </c:pt>
                <c:pt idx="328">
                  <c:v>#N/A</c:v>
                </c:pt>
                <c:pt idx="329">
                  <c:v>#N/A</c:v>
                </c:pt>
                <c:pt idx="330">
                  <c:v>145.58678633443645</c:v>
                </c:pt>
                <c:pt idx="331">
                  <c:v>#N/A</c:v>
                </c:pt>
                <c:pt idx="332">
                  <c:v>#N/A</c:v>
                </c:pt>
                <c:pt idx="333">
                  <c:v>#N/A</c:v>
                </c:pt>
                <c:pt idx="334">
                  <c:v>#N/A</c:v>
                </c:pt>
                <c:pt idx="335">
                  <c:v>#N/A</c:v>
                </c:pt>
                <c:pt idx="336">
                  <c:v>#N/A</c:v>
                </c:pt>
                <c:pt idx="337">
                  <c:v>#N/A</c:v>
                </c:pt>
                <c:pt idx="338">
                  <c:v>#N/A</c:v>
                </c:pt>
                <c:pt idx="339">
                  <c:v>#N/A</c:v>
                </c:pt>
                <c:pt idx="340">
                  <c:v>149.71741788554954</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xVal>
          <c:yVal>
            <c:numRef>
              <c:f>Calculs!$K$4:$K$1004</c:f>
              <c:numCache>
                <c:formatCode>0.00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291.09189288107132</c:v>
                </c:pt>
                <c:pt idx="262">
                  <c:v>290.06069183048686</c:v>
                </c:pt>
                <c:pt idx="263">
                  <c:v>288.93559987586428</c:v>
                </c:pt>
                <c:pt idx="264">
                  <c:v>287.71722909449147</c:v>
                </c:pt>
                <c:pt idx="265">
                  <c:v>286.40623463936765</c:v>
                </c:pt>
                <c:pt idx="266">
                  <c:v>285.00331428028829</c:v>
                </c:pt>
                <c:pt idx="267">
                  <c:v>283.50920767750182</c:v>
                </c:pt>
                <c:pt idx="268">
                  <c:v>281.9246954376257</c:v>
                </c:pt>
                <c:pt idx="269">
                  <c:v>280.25059799104753</c:v>
                </c:pt>
                <c:pt idx="270">
                  <c:v>278.4877743220685</c:v>
                </c:pt>
                <c:pt idx="271">
                  <c:v>276.63712057704515</c:v>
                </c:pt>
                <c:pt idx="272">
                  <c:v>274.69956857128471</c:v>
                </c:pt>
                <c:pt idx="273">
                  <c:v>272.67608421207359</c:v>
                </c:pt>
                <c:pt idx="274">
                  <c:v>270.56766585267269</c:v>
                </c:pt>
                <c:pt idx="275">
                  <c:v>268.37534259017303</c:v>
                </c:pt>
                <c:pt idx="276">
                  <c:v>266.10017251860978</c:v>
                </c:pt>
                <c:pt idx="277">
                  <c:v>263.7432409475532</c:v>
                </c:pt>
                <c:pt idx="278">
                  <c:v>261.30565859544896</c:v>
                </c:pt>
                <c:pt idx="279">
                  <c:v>258.78855976619644</c:v>
                </c:pt>
                <c:pt idx="280">
                  <c:v>256.19310051679088</c:v>
                </c:pt>
                <c:pt idx="281">
                  <c:v>253.52045682327267</c:v>
                </c:pt>
                <c:pt idx="282">
                  <c:v>250.77182275170779</c:v>
                </c:pt>
                <c:pt idx="283">
                  <c:v>247.9484086404436</c:v>
                </c:pt>
                <c:pt idx="284">
                  <c:v>245.0514392994348</c:v>
                </c:pt>
                <c:pt idx="285">
                  <c:v>242.08215223200716</c:v>
                </c:pt>
                <c:pt idx="286">
                  <c:v>239.04179588401399</c:v>
                </c:pt>
                <c:pt idx="287">
                  <c:v>235.93162792494019</c:v>
                </c:pt>
                <c:pt idx="288">
                  <c:v>232.75291356511812</c:v>
                </c:pt>
                <c:pt idx="289">
                  <c:v>229.50692391283829</c:v>
                </c:pt>
                <c:pt idx="290">
                  <c:v>226.19493437476322</c:v>
                </c:pt>
                <c:pt idx="291">
                  <c:v>222.81822310268873</c:v>
                </c:pt>
                <c:pt idx="292">
                  <c:v>219.37806948934011</c:v>
                </c:pt>
                <c:pt idx="293">
                  <c:v>215.87575271554374</c:v>
                </c:pt>
                <c:pt idx="294">
                  <c:v>212.31255035077942</c:v>
                </c:pt>
                <c:pt idx="295">
                  <c:v>208.68973700879292</c:v>
                </c:pt>
                <c:pt idx="296">
                  <c:v>205.00858305963612</c:v>
                </c:pt>
                <c:pt idx="297">
                  <c:v>201.270353399203</c:v>
                </c:pt>
                <c:pt idx="298">
                  <c:v>197.47630627704319</c:v>
                </c:pt>
                <c:pt idx="299">
                  <c:v>193.62769218296484</c:v>
                </c:pt>
                <c:pt idx="300">
                  <c:v>189.72575279268128</c:v>
                </c:pt>
                <c:pt idx="301">
                  <c:v>185.77171997251639</c:v>
                </c:pt>
                <c:pt idx="302">
                  <c:v>181.76681484295801</c:v>
                </c:pt>
                <c:pt idx="303">
                  <c:v>177.71224690064031</c:v>
                </c:pt>
                <c:pt idx="304">
                  <c:v>173.6092131981431</c:v>
                </c:pt>
                <c:pt idx="305">
                  <c:v>169.45889758081921</c:v>
                </c:pt>
                <c:pt idx="306">
                  <c:v>165.2624699797</c:v>
                </c:pt>
                <c:pt idx="307">
                  <c:v>161.02108575938396</c:v>
                </c:pt>
                <c:pt idx="308">
                  <c:v>156.73588511968285</c:v>
                </c:pt>
                <c:pt idx="309">
                  <c:v>152.40799254968468</c:v>
                </c:pt>
                <c:pt idx="310">
                  <c:v>148.03851633279217</c:v>
                </c:pt>
                <c:pt idx="311">
                  <c:v>143.62854810120749</c:v>
                </c:pt>
                <c:pt idx="312">
                  <c:v>139.17916243826082</c:v>
                </c:pt>
                <c:pt idx="313">
                  <c:v>134.69141652691863</c:v>
                </c:pt>
                <c:pt idx="314">
                  <c:v>130.16634984275808</c:v>
                </c:pt>
                <c:pt idx="315">
                  <c:v>125.60498388965577</c:v>
                </c:pt>
                <c:pt idx="316">
                  <c:v>121.00832197641151</c:v>
                </c:pt>
                <c:pt idx="317">
                  <c:v>116.37734903250951</c:v>
                </c:pt>
                <c:pt idx="318">
                  <c:v>111.71303146121105</c:v>
                </c:pt>
                <c:pt idx="319">
                  <c:v>107.01631702817177</c:v>
                </c:pt>
                <c:pt idx="320">
                  <c:v>102.28813478378433</c:v>
                </c:pt>
                <c:pt idx="321">
                  <c:v>97.529395017461056</c:v>
                </c:pt>
                <c:pt idx="322">
                  <c:v>92.740989242092127</c:v>
                </c:pt>
                <c:pt idx="323">
                  <c:v>87.923790206940623</c:v>
                </c:pt>
                <c:pt idx="324">
                  <c:v>83.078651937267338</c:v>
                </c:pt>
                <c:pt idx="325">
                  <c:v>78.206409799013784</c:v>
                </c:pt>
                <c:pt idx="326">
                  <c:v>73.307880586911466</c:v>
                </c:pt>
                <c:pt idx="327">
                  <c:v>68.383862634428411</c:v>
                </c:pt>
                <c:pt idx="328">
                  <c:v>63.435135944009716</c:v>
                </c:pt>
                <c:pt idx="329">
                  <c:v>58.462462336117014</c:v>
                </c:pt>
                <c:pt idx="330">
                  <c:v>53.466585615621725</c:v>
                </c:pt>
                <c:pt idx="331">
                  <c:v>48.448231754158705</c:v>
                </c:pt>
                <c:pt idx="332">
                  <c:v>43.408109087099412</c:v>
                </c:pt>
                <c:pt idx="333">
                  <c:v>38.346908523857202</c:v>
                </c:pt>
                <c:pt idx="334">
                  <c:v>33.265303770291418</c:v>
                </c:pt>
                <c:pt idx="335">
                  <c:v>28.16395156203081</c:v>
                </c:pt>
                <c:pt idx="336">
                  <c:v>23.043491907591019</c:v>
                </c:pt>
                <c:pt idx="337">
                  <c:v>17.904548340214294</c:v>
                </c:pt>
                <c:pt idx="338">
                  <c:v>12.747728177412935</c:v>
                </c:pt>
                <c:pt idx="339">
                  <c:v>7.5736227872500832</c:v>
                </c:pt>
                <c:pt idx="340">
                  <c:v>2.3828078604431502</c:v>
                </c:pt>
                <c:pt idx="341">
                  <c:v>-2.8241563125745657</c:v>
                </c:pt>
                <c:pt idx="342">
                  <c:v>-2.8293712208732744</c:v>
                </c:pt>
                <c:pt idx="343">
                  <c:v>-2.834586144506956</c:v>
                </c:pt>
                <c:pt idx="344">
                  <c:v>-2.8398010834750882</c:v>
                </c:pt>
                <c:pt idx="345">
                  <c:v>-2.8450160377771492</c:v>
                </c:pt>
                <c:pt idx="346">
                  <c:v>-2.8502310074126171</c:v>
                </c:pt>
                <c:pt idx="347">
                  <c:v>-2.8554459923809703</c:v>
                </c:pt>
                <c:pt idx="348">
                  <c:v>-2.8606609926816868</c:v>
                </c:pt>
                <c:pt idx="349">
                  <c:v>-2.8658760083142449</c:v>
                </c:pt>
                <c:pt idx="350">
                  <c:v>-2.8710910392781224</c:v>
                </c:pt>
                <c:pt idx="351">
                  <c:v>-2.8763060855727978</c:v>
                </c:pt>
                <c:pt idx="352">
                  <c:v>-2.8815211471977493</c:v>
                </c:pt>
                <c:pt idx="353">
                  <c:v>-2.8867362241524552</c:v>
                </c:pt>
                <c:pt idx="354">
                  <c:v>-2.8919513164363937</c:v>
                </c:pt>
                <c:pt idx="355">
                  <c:v>-2.8971664240490429</c:v>
                </c:pt>
                <c:pt idx="356">
                  <c:v>-2.9023815469898815</c:v>
                </c:pt>
                <c:pt idx="357">
                  <c:v>-2.9075966852583872</c:v>
                </c:pt>
                <c:pt idx="358">
                  <c:v>-2.9128118388540387</c:v>
                </c:pt>
                <c:pt idx="359">
                  <c:v>-2.9180270077763142</c:v>
                </c:pt>
                <c:pt idx="360">
                  <c:v>-2.9232421920246923</c:v>
                </c:pt>
                <c:pt idx="361">
                  <c:v>-2.9284573915986511</c:v>
                </c:pt>
                <c:pt idx="362">
                  <c:v>-2.933672606497669</c:v>
                </c:pt>
                <c:pt idx="363">
                  <c:v>-2.9388878367212246</c:v>
                </c:pt>
                <c:pt idx="364">
                  <c:v>-2.9441030822687959</c:v>
                </c:pt>
                <c:pt idx="365">
                  <c:v>-2.9493183431398613</c:v>
                </c:pt>
                <c:pt idx="366">
                  <c:v>-2.9545336193338994</c:v>
                </c:pt>
                <c:pt idx="367">
                  <c:v>-2.9597489108503887</c:v>
                </c:pt>
                <c:pt idx="368">
                  <c:v>-2.9649642176888076</c:v>
                </c:pt>
                <c:pt idx="369">
                  <c:v>-2.9701795398486346</c:v>
                </c:pt>
                <c:pt idx="370">
                  <c:v>-2.9753948773293479</c:v>
                </c:pt>
                <c:pt idx="371">
                  <c:v>-2.9806102301304263</c:v>
                </c:pt>
                <c:pt idx="372">
                  <c:v>-2.9858255982513482</c:v>
                </c:pt>
                <c:pt idx="373">
                  <c:v>-2.9910409816915919</c:v>
                </c:pt>
                <c:pt idx="374">
                  <c:v>-2.9962563804506366</c:v>
                </c:pt>
                <c:pt idx="375">
                  <c:v>-3.0014717945279603</c:v>
                </c:pt>
                <c:pt idx="376">
                  <c:v>-3.0066872239230418</c:v>
                </c:pt>
                <c:pt idx="377">
                  <c:v>-3.0119026686353592</c:v>
                </c:pt>
                <c:pt idx="378">
                  <c:v>-3.0171181286643916</c:v>
                </c:pt>
                <c:pt idx="379">
                  <c:v>-3.0223336040096176</c:v>
                </c:pt>
                <c:pt idx="380">
                  <c:v>-3.0275490946705155</c:v>
                </c:pt>
                <c:pt idx="381">
                  <c:v>-3.0327646006465643</c:v>
                </c:pt>
                <c:pt idx="382">
                  <c:v>-3.0379801219372422</c:v>
                </c:pt>
                <c:pt idx="383">
                  <c:v>-3.0431956585420283</c:v>
                </c:pt>
                <c:pt idx="384">
                  <c:v>-3.0484112104604013</c:v>
                </c:pt>
                <c:pt idx="385">
                  <c:v>-3.0536267776918393</c:v>
                </c:pt>
                <c:pt idx="386">
                  <c:v>-3.0588423602358215</c:v>
                </c:pt>
                <c:pt idx="387">
                  <c:v>-3.0640579580918268</c:v>
                </c:pt>
                <c:pt idx="388">
                  <c:v>-3.0692735712593335</c:v>
                </c:pt>
                <c:pt idx="389">
                  <c:v>-3.0744891997378203</c:v>
                </c:pt>
                <c:pt idx="390">
                  <c:v>-3.0797048435267662</c:v>
                </c:pt>
                <c:pt idx="391">
                  <c:v>-3.0849205026256503</c:v>
                </c:pt>
                <c:pt idx="392">
                  <c:v>-3.0901361770339508</c:v>
                </c:pt>
                <c:pt idx="393">
                  <c:v>-3.0953518667511468</c:v>
                </c:pt>
                <c:pt idx="394">
                  <c:v>-3.1005675717767169</c:v>
                </c:pt>
                <c:pt idx="395">
                  <c:v>-3.1057832921101403</c:v>
                </c:pt>
                <c:pt idx="396">
                  <c:v>-3.1109990277508954</c:v>
                </c:pt>
                <c:pt idx="397">
                  <c:v>-3.1162147786984615</c:v>
                </c:pt>
                <c:pt idx="398">
                  <c:v>-3.1214305449523172</c:v>
                </c:pt>
                <c:pt idx="399">
                  <c:v>-3.1266463265119415</c:v>
                </c:pt>
                <c:pt idx="400">
                  <c:v>-3.1318621233768131</c:v>
                </c:pt>
                <c:pt idx="401">
                  <c:v>-3.1370779355464116</c:v>
                </c:pt>
                <c:pt idx="402">
                  <c:v>-3.142293763020215</c:v>
                </c:pt>
                <c:pt idx="403">
                  <c:v>-3.147509605797703</c:v>
                </c:pt>
                <c:pt idx="404">
                  <c:v>-3.1527254638783542</c:v>
                </c:pt>
                <c:pt idx="405">
                  <c:v>-3.1579413372616476</c:v>
                </c:pt>
                <c:pt idx="406">
                  <c:v>-3.1631572259470619</c:v>
                </c:pt>
                <c:pt idx="407">
                  <c:v>-3.1683731299340767</c:v>
                </c:pt>
                <c:pt idx="408">
                  <c:v>-3.1735890492221706</c:v>
                </c:pt>
                <c:pt idx="409">
                  <c:v>-3.1788049838108225</c:v>
                </c:pt>
                <c:pt idx="410">
                  <c:v>-3.1840209336995122</c:v>
                </c:pt>
                <c:pt idx="411">
                  <c:v>-3.1892368988877182</c:v>
                </c:pt>
                <c:pt idx="412">
                  <c:v>-3.1944528793749196</c:v>
                </c:pt>
                <c:pt idx="413">
                  <c:v>-3.1996688751605955</c:v>
                </c:pt>
                <c:pt idx="414">
                  <c:v>-3.204884886244225</c:v>
                </c:pt>
                <c:pt idx="415">
                  <c:v>-3.2101009126252871</c:v>
                </c:pt>
                <c:pt idx="416">
                  <c:v>-3.2153169543032614</c:v>
                </c:pt>
                <c:pt idx="417">
                  <c:v>-3.2205330112776265</c:v>
                </c:pt>
                <c:pt idx="418">
                  <c:v>-3.2257490835478619</c:v>
                </c:pt>
                <c:pt idx="419">
                  <c:v>-3.2309651711134468</c:v>
                </c:pt>
                <c:pt idx="420">
                  <c:v>-3.2361812739738602</c:v>
                </c:pt>
                <c:pt idx="421">
                  <c:v>-3.2413973921285812</c:v>
                </c:pt>
                <c:pt idx="422">
                  <c:v>-3.2466135255770894</c:v>
                </c:pt>
                <c:pt idx="423">
                  <c:v>-3.2518296743188637</c:v>
                </c:pt>
                <c:pt idx="424">
                  <c:v>-3.2570458383533838</c:v>
                </c:pt>
                <c:pt idx="425">
                  <c:v>-3.2622620176801282</c:v>
                </c:pt>
                <c:pt idx="426">
                  <c:v>-3.267478212298577</c:v>
                </c:pt>
                <c:pt idx="427">
                  <c:v>-3.2726944222082088</c:v>
                </c:pt>
                <c:pt idx="428">
                  <c:v>-3.2779106474085036</c:v>
                </c:pt>
                <c:pt idx="429">
                  <c:v>-3.2831268878989399</c:v>
                </c:pt>
                <c:pt idx="430">
                  <c:v>-3.2883431436789978</c:v>
                </c:pt>
                <c:pt idx="431">
                  <c:v>-3.2935594147481564</c:v>
                </c:pt>
                <c:pt idx="432">
                  <c:v>-3.2987757011058947</c:v>
                </c:pt>
                <c:pt idx="433">
                  <c:v>-3.3039920027516922</c:v>
                </c:pt>
                <c:pt idx="434">
                  <c:v>-3.3092083196850286</c:v>
                </c:pt>
                <c:pt idx="435">
                  <c:v>-3.3144246519053833</c:v>
                </c:pt>
                <c:pt idx="436">
                  <c:v>-3.3196409994122353</c:v>
                </c:pt>
                <c:pt idx="437">
                  <c:v>-3.3248573622050643</c:v>
                </c:pt>
                <c:pt idx="438">
                  <c:v>-3.3300737402833498</c:v>
                </c:pt>
                <c:pt idx="439">
                  <c:v>-3.3352901336465712</c:v>
                </c:pt>
                <c:pt idx="440">
                  <c:v>-3.3405065422942077</c:v>
                </c:pt>
                <c:pt idx="441">
                  <c:v>-3.3457229662257393</c:v>
                </c:pt>
                <c:pt idx="442">
                  <c:v>-3.3509394054406454</c:v>
                </c:pt>
                <c:pt idx="443">
                  <c:v>-3.3561558599384052</c:v>
                </c:pt>
                <c:pt idx="444">
                  <c:v>-3.3613723297184985</c:v>
                </c:pt>
                <c:pt idx="445">
                  <c:v>-3.3665888147804046</c:v>
                </c:pt>
                <c:pt idx="446">
                  <c:v>-3.3718053151236034</c:v>
                </c:pt>
                <c:pt idx="447">
                  <c:v>-3.3770218307475743</c:v>
                </c:pt>
                <c:pt idx="448">
                  <c:v>-3.3822383616517966</c:v>
                </c:pt>
                <c:pt idx="449">
                  <c:v>-3.3874549078357501</c:v>
                </c:pt>
                <c:pt idx="450">
                  <c:v>-3.3926714692989148</c:v>
                </c:pt>
                <c:pt idx="451">
                  <c:v>-3.3978880460407699</c:v>
                </c:pt>
                <c:pt idx="452">
                  <c:v>-3.4031046380607952</c:v>
                </c:pt>
                <c:pt idx="453">
                  <c:v>-3.4083212453584704</c:v>
                </c:pt>
                <c:pt idx="454">
                  <c:v>-3.4135378679332748</c:v>
                </c:pt>
                <c:pt idx="455">
                  <c:v>-3.4187545057846886</c:v>
                </c:pt>
                <c:pt idx="456">
                  <c:v>-3.4239711589121913</c:v>
                </c:pt>
                <c:pt idx="457">
                  <c:v>-3.4291878273152627</c:v>
                </c:pt>
                <c:pt idx="458">
                  <c:v>-3.4344045109933825</c:v>
                </c:pt>
                <c:pt idx="459">
                  <c:v>-3.4396212099460302</c:v>
                </c:pt>
                <c:pt idx="460">
                  <c:v>-3.4448379241726856</c:v>
                </c:pt>
                <c:pt idx="461">
                  <c:v>-3.4500546536728289</c:v>
                </c:pt>
                <c:pt idx="462">
                  <c:v>-3.4552713984459396</c:v>
                </c:pt>
                <c:pt idx="463">
                  <c:v>-3.4604881584914975</c:v>
                </c:pt>
                <c:pt idx="464">
                  <c:v>-3.4657049338089823</c:v>
                </c:pt>
                <c:pt idx="465">
                  <c:v>-3.4709217243978738</c:v>
                </c:pt>
                <c:pt idx="466">
                  <c:v>-3.4761385302576522</c:v>
                </c:pt>
                <c:pt idx="467">
                  <c:v>-3.4813553513877973</c:v>
                </c:pt>
                <c:pt idx="468">
                  <c:v>-3.4865721877877887</c:v>
                </c:pt>
                <c:pt idx="469">
                  <c:v>-3.4917890394571063</c:v>
                </c:pt>
                <c:pt idx="470">
                  <c:v>-3.4970059063952301</c:v>
                </c:pt>
                <c:pt idx="471">
                  <c:v>-3.5022227886016402</c:v>
                </c:pt>
                <c:pt idx="472">
                  <c:v>-3.5074396860758164</c:v>
                </c:pt>
                <c:pt idx="473">
                  <c:v>-3.5126565988172382</c:v>
                </c:pt>
                <c:pt idx="474">
                  <c:v>-3.5178735268253862</c:v>
                </c:pt>
                <c:pt idx="475">
                  <c:v>-3.5230904700997403</c:v>
                </c:pt>
                <c:pt idx="476">
                  <c:v>-3.52830742863978</c:v>
                </c:pt>
                <c:pt idx="477">
                  <c:v>-3.5335244024449857</c:v>
                </c:pt>
                <c:pt idx="478">
                  <c:v>-3.5387413915148374</c:v>
                </c:pt>
                <c:pt idx="479">
                  <c:v>-3.543958395848815</c:v>
                </c:pt>
                <c:pt idx="480">
                  <c:v>-3.5491754154463986</c:v>
                </c:pt>
                <c:pt idx="481">
                  <c:v>-3.5543924503070685</c:v>
                </c:pt>
                <c:pt idx="482">
                  <c:v>-3.5596095004303043</c:v>
                </c:pt>
                <c:pt idx="483">
                  <c:v>-3.5648265658155864</c:v>
                </c:pt>
                <c:pt idx="484">
                  <c:v>-3.5700436464623948</c:v>
                </c:pt>
                <c:pt idx="485">
                  <c:v>-3.5752607423702099</c:v>
                </c:pt>
                <c:pt idx="486">
                  <c:v>-3.5804778535385116</c:v>
                </c:pt>
                <c:pt idx="487">
                  <c:v>-3.5856949799667799</c:v>
                </c:pt>
                <c:pt idx="488">
                  <c:v>-3.5909121216544948</c:v>
                </c:pt>
                <c:pt idx="489">
                  <c:v>-3.5961292786011372</c:v>
                </c:pt>
                <c:pt idx="490">
                  <c:v>-3.6013464508061865</c:v>
                </c:pt>
                <c:pt idx="491">
                  <c:v>-3.6065636382691233</c:v>
                </c:pt>
                <c:pt idx="492">
                  <c:v>-3.6117808409894279</c:v>
                </c:pt>
                <c:pt idx="493">
                  <c:v>-3.6169980589665802</c:v>
                </c:pt>
                <c:pt idx="494">
                  <c:v>-3.6222152922000608</c:v>
                </c:pt>
                <c:pt idx="495">
                  <c:v>-3.6274325406893495</c:v>
                </c:pt>
                <c:pt idx="496">
                  <c:v>-3.6326498044339268</c:v>
                </c:pt>
                <c:pt idx="497">
                  <c:v>-3.6378670834332731</c:v>
                </c:pt>
                <c:pt idx="498">
                  <c:v>-3.6430843776868689</c:v>
                </c:pt>
                <c:pt idx="499">
                  <c:v>-3.648301687194194</c:v>
                </c:pt>
                <c:pt idx="500">
                  <c:v>-3.6535190119547289</c:v>
                </c:pt>
                <c:pt idx="501">
                  <c:v>-3.6587363519679541</c:v>
                </c:pt>
                <c:pt idx="502">
                  <c:v>-3.6639537072333499</c:v>
                </c:pt>
                <c:pt idx="503">
                  <c:v>-3.6691710777503967</c:v>
                </c:pt>
                <c:pt idx="504">
                  <c:v>-3.6743884635185746</c:v>
                </c:pt>
                <c:pt idx="505">
                  <c:v>-3.6796058645373644</c:v>
                </c:pt>
                <c:pt idx="506">
                  <c:v>-3.6848232808062464</c:v>
                </c:pt>
                <c:pt idx="507">
                  <c:v>-3.6900407123247008</c:v>
                </c:pt>
                <c:pt idx="508">
                  <c:v>-3.6952581590922082</c:v>
                </c:pt>
                <c:pt idx="509">
                  <c:v>-3.7004756211082492</c:v>
                </c:pt>
                <c:pt idx="510">
                  <c:v>-3.7056930983723042</c:v>
                </c:pt>
                <c:pt idx="511">
                  <c:v>-3.7109105908838536</c:v>
                </c:pt>
                <c:pt idx="512">
                  <c:v>-3.7161280986423777</c:v>
                </c:pt>
                <c:pt idx="513">
                  <c:v>-3.7213456216473575</c:v>
                </c:pt>
                <c:pt idx="514">
                  <c:v>-3.7265631598982729</c:v>
                </c:pt>
                <c:pt idx="515">
                  <c:v>-3.7317807133946048</c:v>
                </c:pt>
                <c:pt idx="516">
                  <c:v>-3.7369982821358341</c:v>
                </c:pt>
                <c:pt idx="517">
                  <c:v>-3.7422158661214406</c:v>
                </c:pt>
                <c:pt idx="518">
                  <c:v>-3.7474334653509054</c:v>
                </c:pt>
                <c:pt idx="519">
                  <c:v>-3.7526510798237092</c:v>
                </c:pt>
                <c:pt idx="520">
                  <c:v>-3.7578687095393324</c:v>
                </c:pt>
                <c:pt idx="521">
                  <c:v>-3.7630863544972555</c:v>
                </c:pt>
                <c:pt idx="522">
                  <c:v>-3.7683040146969593</c:v>
                </c:pt>
                <c:pt idx="523">
                  <c:v>-3.7735216901379247</c:v>
                </c:pt>
                <c:pt idx="524">
                  <c:v>-3.7787393808196321</c:v>
                </c:pt>
                <c:pt idx="525">
                  <c:v>-3.7839570867415619</c:v>
                </c:pt>
                <c:pt idx="526">
                  <c:v>-3.7891748079031951</c:v>
                </c:pt>
                <c:pt idx="527">
                  <c:v>-3.7943925443040123</c:v>
                </c:pt>
                <c:pt idx="528">
                  <c:v>-3.7996102959434945</c:v>
                </c:pt>
                <c:pt idx="529">
                  <c:v>-3.8048280628211222</c:v>
                </c:pt>
                <c:pt idx="530">
                  <c:v>-3.8100458449363761</c:v>
                </c:pt>
                <c:pt idx="531">
                  <c:v>-3.8152636422887372</c:v>
                </c:pt>
                <c:pt idx="532">
                  <c:v>-3.8204814548776862</c:v>
                </c:pt>
                <c:pt idx="533">
                  <c:v>-3.8256992827027037</c:v>
                </c:pt>
                <c:pt idx="534">
                  <c:v>-3.8309171257632708</c:v>
                </c:pt>
                <c:pt idx="535">
                  <c:v>-3.8361349840588681</c:v>
                </c:pt>
                <c:pt idx="536">
                  <c:v>-3.8413528575889768</c:v>
                </c:pt>
                <c:pt idx="537">
                  <c:v>-3.8465707463530774</c:v>
                </c:pt>
                <c:pt idx="538">
                  <c:v>-3.8517886503506507</c:v>
                </c:pt>
                <c:pt idx="539">
                  <c:v>-3.8570065695811779</c:v>
                </c:pt>
                <c:pt idx="540">
                  <c:v>-3.8622245040441396</c:v>
                </c:pt>
                <c:pt idx="541">
                  <c:v>-3.8674424537390171</c:v>
                </c:pt>
                <c:pt idx="542">
                  <c:v>-3.8726604186652906</c:v>
                </c:pt>
                <c:pt idx="543">
                  <c:v>-3.8778783988224417</c:v>
                </c:pt>
                <c:pt idx="544">
                  <c:v>-3.883096394209951</c:v>
                </c:pt>
                <c:pt idx="545">
                  <c:v>-3.8883144048273</c:v>
                </c:pt>
                <c:pt idx="546">
                  <c:v>-3.8935324306739689</c:v>
                </c:pt>
                <c:pt idx="547">
                  <c:v>-3.8987504717494392</c:v>
                </c:pt>
                <c:pt idx="548">
                  <c:v>-3.9039685280531922</c:v>
                </c:pt>
                <c:pt idx="549">
                  <c:v>-3.9091865995847082</c:v>
                </c:pt>
                <c:pt idx="550">
                  <c:v>-3.9144046863434685</c:v>
                </c:pt>
                <c:pt idx="551">
                  <c:v>-3.9196227883289545</c:v>
                </c:pt>
                <c:pt idx="552">
                  <c:v>-3.924840905540647</c:v>
                </c:pt>
                <c:pt idx="553">
                  <c:v>-3.9300590379780269</c:v>
                </c:pt>
                <c:pt idx="554">
                  <c:v>-3.9352771856405755</c:v>
                </c:pt>
                <c:pt idx="555">
                  <c:v>-3.9404953485277741</c:v>
                </c:pt>
                <c:pt idx="556">
                  <c:v>-3.9457135266391035</c:v>
                </c:pt>
                <c:pt idx="557">
                  <c:v>-3.950931719974045</c:v>
                </c:pt>
                <c:pt idx="558">
                  <c:v>-3.9561499285320796</c:v>
                </c:pt>
                <c:pt idx="559">
                  <c:v>-3.9613681523126885</c:v>
                </c:pt>
                <c:pt idx="560">
                  <c:v>-3.966586391315353</c:v>
                </c:pt>
                <c:pt idx="561">
                  <c:v>-3.9718046455395544</c:v>
                </c:pt>
                <c:pt idx="562">
                  <c:v>-3.9770229149847736</c:v>
                </c:pt>
                <c:pt idx="563">
                  <c:v>-3.9822411996504918</c:v>
                </c:pt>
                <c:pt idx="564">
                  <c:v>-3.9874594995361905</c:v>
                </c:pt>
                <c:pt idx="565">
                  <c:v>-3.9926778146413509</c:v>
                </c:pt>
                <c:pt idx="566">
                  <c:v>-3.9978961449654542</c:v>
                </c:pt>
                <c:pt idx="567">
                  <c:v>-4.0031144905079818</c:v>
                </c:pt>
                <c:pt idx="568">
                  <c:v>-4.0083328512684151</c:v>
                </c:pt>
                <c:pt idx="569">
                  <c:v>-4.0135512272462348</c:v>
                </c:pt>
                <c:pt idx="570">
                  <c:v>-4.0187696184409232</c:v>
                </c:pt>
                <c:pt idx="571">
                  <c:v>-4.0239880248519606</c:v>
                </c:pt>
                <c:pt idx="572">
                  <c:v>-4.0292064464788284</c:v>
                </c:pt>
                <c:pt idx="573">
                  <c:v>-4.0344248833210088</c:v>
                </c:pt>
                <c:pt idx="574">
                  <c:v>-4.039643335377983</c:v>
                </c:pt>
                <c:pt idx="575">
                  <c:v>-4.0448618026492316</c:v>
                </c:pt>
                <c:pt idx="576">
                  <c:v>-4.0500802851342366</c:v>
                </c:pt>
                <c:pt idx="577">
                  <c:v>-4.0552987828324794</c:v>
                </c:pt>
                <c:pt idx="578">
                  <c:v>-4.0605172957434412</c:v>
                </c:pt>
                <c:pt idx="579">
                  <c:v>-4.0657358238666044</c:v>
                </c:pt>
                <c:pt idx="580">
                  <c:v>-4.0709543672014492</c:v>
                </c:pt>
                <c:pt idx="581">
                  <c:v>-4.0761729257474579</c:v>
                </c:pt>
                <c:pt idx="582">
                  <c:v>-4.0813914995041118</c:v>
                </c:pt>
                <c:pt idx="583">
                  <c:v>-4.0866100884708922</c:v>
                </c:pt>
                <c:pt idx="584">
                  <c:v>-4.0918286926472804</c:v>
                </c:pt>
                <c:pt idx="585">
                  <c:v>-4.0970473120327586</c:v>
                </c:pt>
                <c:pt idx="586">
                  <c:v>-4.1022659466268081</c:v>
                </c:pt>
                <c:pt idx="587">
                  <c:v>-4.1074845964289102</c:v>
                </c:pt>
                <c:pt idx="588">
                  <c:v>-4.1127032614385461</c:v>
                </c:pt>
                <c:pt idx="589">
                  <c:v>-4.1179219416551982</c:v>
                </c:pt>
                <c:pt idx="590">
                  <c:v>-4.1231406370783477</c:v>
                </c:pt>
                <c:pt idx="591">
                  <c:v>-4.1283593477074767</c:v>
                </c:pt>
                <c:pt idx="592">
                  <c:v>-4.1335780735420666</c:v>
                </c:pt>
                <c:pt idx="593">
                  <c:v>-4.1387968145815988</c:v>
                </c:pt>
                <c:pt idx="594">
                  <c:v>-4.1440155708255553</c:v>
                </c:pt>
                <c:pt idx="595">
                  <c:v>-4.1492343422734175</c:v>
                </c:pt>
                <c:pt idx="596">
                  <c:v>-4.1544531289246667</c:v>
                </c:pt>
                <c:pt idx="597">
                  <c:v>-4.1596719307787851</c:v>
                </c:pt>
                <c:pt idx="598">
                  <c:v>-4.1648907478352548</c:v>
                </c:pt>
                <c:pt idx="599">
                  <c:v>-4.1701095800935573</c:v>
                </c:pt>
                <c:pt idx="600">
                  <c:v>-4.1753284275531737</c:v>
                </c:pt>
                <c:pt idx="601">
                  <c:v>-4.1805472902135863</c:v>
                </c:pt>
                <c:pt idx="602">
                  <c:v>-4.1857661680742773</c:v>
                </c:pt>
                <c:pt idx="603">
                  <c:v>-4.1909850611347279</c:v>
                </c:pt>
                <c:pt idx="604">
                  <c:v>-4.1962039693944195</c:v>
                </c:pt>
                <c:pt idx="605">
                  <c:v>-4.2014228928528352</c:v>
                </c:pt>
                <c:pt idx="606">
                  <c:v>-4.2066418315094554</c:v>
                </c:pt>
                <c:pt idx="607">
                  <c:v>-4.2118607853637631</c:v>
                </c:pt>
                <c:pt idx="608">
                  <c:v>-4.2170797544152396</c:v>
                </c:pt>
                <c:pt idx="609">
                  <c:v>-4.2222987386633664</c:v>
                </c:pt>
                <c:pt idx="610">
                  <c:v>-4.2275177381076263</c:v>
                </c:pt>
                <c:pt idx="611">
                  <c:v>-4.2327367527475008</c:v>
                </c:pt>
                <c:pt idx="612">
                  <c:v>-4.2379557825824712</c:v>
                </c:pt>
                <c:pt idx="613">
                  <c:v>-4.2431748276120205</c:v>
                </c:pt>
                <c:pt idx="614">
                  <c:v>-4.24839388783563</c:v>
                </c:pt>
                <c:pt idx="615">
                  <c:v>-4.2536129632527819</c:v>
                </c:pt>
                <c:pt idx="616">
                  <c:v>-4.2588320538629576</c:v>
                </c:pt>
                <c:pt idx="617">
                  <c:v>-4.2640511596656401</c:v>
                </c:pt>
                <c:pt idx="618">
                  <c:v>-4.2692702806603107</c:v>
                </c:pt>
                <c:pt idx="619">
                  <c:v>-4.2744894168464516</c:v>
                </c:pt>
                <c:pt idx="620">
                  <c:v>-4.279708568223545</c:v>
                </c:pt>
                <c:pt idx="621">
                  <c:v>-4.2849277347910721</c:v>
                </c:pt>
                <c:pt idx="622">
                  <c:v>-4.2901469165485162</c:v>
                </c:pt>
                <c:pt idx="623">
                  <c:v>-4.2953661134953585</c:v>
                </c:pt>
                <c:pt idx="624">
                  <c:v>-4.3005853256310811</c:v>
                </c:pt>
                <c:pt idx="625">
                  <c:v>-4.3058045529551672</c:v>
                </c:pt>
                <c:pt idx="626">
                  <c:v>-4.311023795467098</c:v>
                </c:pt>
                <c:pt idx="627">
                  <c:v>-4.3162430531663558</c:v>
                </c:pt>
                <c:pt idx="628">
                  <c:v>-4.3214623260524219</c:v>
                </c:pt>
                <c:pt idx="629">
                  <c:v>-4.3266816141247793</c:v>
                </c:pt>
                <c:pt idx="630">
                  <c:v>-4.3319009173829102</c:v>
                </c:pt>
                <c:pt idx="631">
                  <c:v>-4.3371202358262968</c:v>
                </c:pt>
                <c:pt idx="632">
                  <c:v>-4.3423395694544213</c:v>
                </c:pt>
                <c:pt idx="633">
                  <c:v>-4.347558918266766</c:v>
                </c:pt>
                <c:pt idx="634">
                  <c:v>-4.3527782822628129</c:v>
                </c:pt>
                <c:pt idx="635">
                  <c:v>-4.3579976614420444</c:v>
                </c:pt>
                <c:pt idx="636">
                  <c:v>-4.3632170558039425</c:v>
                </c:pt>
                <c:pt idx="637">
                  <c:v>-4.3684364653479895</c:v>
                </c:pt>
                <c:pt idx="638">
                  <c:v>-4.3736558900736675</c:v>
                </c:pt>
                <c:pt idx="639">
                  <c:v>-4.3788753299804597</c:v>
                </c:pt>
                <c:pt idx="640">
                  <c:v>-4.3840947850678473</c:v>
                </c:pt>
                <c:pt idx="641">
                  <c:v>-4.3893142553353135</c:v>
                </c:pt>
                <c:pt idx="642">
                  <c:v>-4.3945337407823404</c:v>
                </c:pt>
                <c:pt idx="643">
                  <c:v>-4.3997532414084102</c:v>
                </c:pt>
                <c:pt idx="644">
                  <c:v>-4.4049727572130051</c:v>
                </c:pt>
                <c:pt idx="645">
                  <c:v>-4.4101922881956073</c:v>
                </c:pt>
                <c:pt idx="646">
                  <c:v>-4.4154118343556998</c:v>
                </c:pt>
                <c:pt idx="647">
                  <c:v>-4.420631395692765</c:v>
                </c:pt>
                <c:pt idx="648">
                  <c:v>-4.4258509722062849</c:v>
                </c:pt>
                <c:pt idx="649">
                  <c:v>-4.4310705638957426</c:v>
                </c:pt>
                <c:pt idx="650">
                  <c:v>-4.4362901707606204</c:v>
                </c:pt>
                <c:pt idx="651">
                  <c:v>-4.4415097928004004</c:v>
                </c:pt>
                <c:pt idx="652">
                  <c:v>-4.4467294300145648</c:v>
                </c:pt>
                <c:pt idx="653">
                  <c:v>-4.4519490824025967</c:v>
                </c:pt>
                <c:pt idx="654">
                  <c:v>-4.4571687499639783</c:v>
                </c:pt>
                <c:pt idx="655">
                  <c:v>-4.4623884326981926</c:v>
                </c:pt>
                <c:pt idx="656">
                  <c:v>-4.4676081306047211</c:v>
                </c:pt>
                <c:pt idx="657">
                  <c:v>-4.4728278436830475</c:v>
                </c:pt>
                <c:pt idx="658">
                  <c:v>-4.4780475719326542</c:v>
                </c:pt>
                <c:pt idx="659">
                  <c:v>-4.4832673153530234</c:v>
                </c:pt>
                <c:pt idx="660">
                  <c:v>-4.4884870739436371</c:v>
                </c:pt>
                <c:pt idx="661">
                  <c:v>-4.4937068477039794</c:v>
                </c:pt>
                <c:pt idx="662">
                  <c:v>-4.4989266366335317</c:v>
                </c:pt>
                <c:pt idx="663">
                  <c:v>-4.5041464407317768</c:v>
                </c:pt>
                <c:pt idx="664">
                  <c:v>-4.5093662599981981</c:v>
                </c:pt>
                <c:pt idx="665">
                  <c:v>-4.5145860944322775</c:v>
                </c:pt>
                <c:pt idx="666">
                  <c:v>-4.5198059440334983</c:v>
                </c:pt>
                <c:pt idx="667">
                  <c:v>-4.5250258088013426</c:v>
                </c:pt>
                <c:pt idx="668">
                  <c:v>-4.5302456887352935</c:v>
                </c:pt>
                <c:pt idx="669">
                  <c:v>-4.5354655838348332</c:v>
                </c:pt>
                <c:pt idx="670">
                  <c:v>-4.5406854940994457</c:v>
                </c:pt>
                <c:pt idx="671">
                  <c:v>-4.5459054195286122</c:v>
                </c:pt>
                <c:pt idx="672">
                  <c:v>-4.5511253601218167</c:v>
                </c:pt>
                <c:pt idx="673">
                  <c:v>-4.5563453158785414</c:v>
                </c:pt>
                <c:pt idx="674">
                  <c:v>-4.5615652867982686</c:v>
                </c:pt>
                <c:pt idx="675">
                  <c:v>-4.5667852728804821</c:v>
                </c:pt>
                <c:pt idx="676">
                  <c:v>-4.5720052741246642</c:v>
                </c:pt>
                <c:pt idx="677">
                  <c:v>-4.5772252905302979</c:v>
                </c:pt>
                <c:pt idx="678">
                  <c:v>-4.5824453220968655</c:v>
                </c:pt>
                <c:pt idx="679">
                  <c:v>-4.5876653688238509</c:v>
                </c:pt>
                <c:pt idx="680">
                  <c:v>-4.5928854307107363</c:v>
                </c:pt>
                <c:pt idx="681">
                  <c:v>-4.5981055077570048</c:v>
                </c:pt>
                <c:pt idx="682">
                  <c:v>-4.6033255999621394</c:v>
                </c:pt>
                <c:pt idx="683">
                  <c:v>-4.6085457073256224</c:v>
                </c:pt>
                <c:pt idx="684">
                  <c:v>-4.6137658298469377</c:v>
                </c:pt>
                <c:pt idx="685">
                  <c:v>-4.6189859675255676</c:v>
                </c:pt>
                <c:pt idx="686">
                  <c:v>-4.624206120360995</c:v>
                </c:pt>
                <c:pt idx="687">
                  <c:v>-4.6294262883527031</c:v>
                </c:pt>
                <c:pt idx="688">
                  <c:v>-4.6346464715001749</c:v>
                </c:pt>
                <c:pt idx="689">
                  <c:v>-4.6398666698028936</c:v>
                </c:pt>
                <c:pt idx="690">
                  <c:v>-4.6450868832603422</c:v>
                </c:pt>
                <c:pt idx="691">
                  <c:v>-4.650307111872003</c:v>
                </c:pt>
                <c:pt idx="692">
                  <c:v>-4.6555273556373598</c:v>
                </c:pt>
                <c:pt idx="693">
                  <c:v>-4.6607476145558957</c:v>
                </c:pt>
                <c:pt idx="694">
                  <c:v>-4.665967888627093</c:v>
                </c:pt>
                <c:pt idx="695">
                  <c:v>-4.6711881778504356</c:v>
                </c:pt>
                <c:pt idx="696">
                  <c:v>-4.6764084822254066</c:v>
                </c:pt>
                <c:pt idx="697">
                  <c:v>-4.6816288017514891</c:v>
                </c:pt>
                <c:pt idx="698">
                  <c:v>-4.6868491364281661</c:v>
                </c:pt>
                <c:pt idx="699">
                  <c:v>-4.6920694862549199</c:v>
                </c:pt>
                <c:pt idx="700">
                  <c:v>-4.6972898512312344</c:v>
                </c:pt>
                <c:pt idx="701">
                  <c:v>-4.7025102313565936</c:v>
                </c:pt>
                <c:pt idx="702">
                  <c:v>-4.7077306266304797</c:v>
                </c:pt>
                <c:pt idx="703">
                  <c:v>-4.7129510370523757</c:v>
                </c:pt>
                <c:pt idx="704">
                  <c:v>-4.7181714626217657</c:v>
                </c:pt>
                <c:pt idx="705">
                  <c:v>-4.7233919033381326</c:v>
                </c:pt>
                <c:pt idx="706">
                  <c:v>-4.7286123592009588</c:v>
                </c:pt>
                <c:pt idx="707">
                  <c:v>-4.733832830209729</c:v>
                </c:pt>
                <c:pt idx="708">
                  <c:v>-4.7390533163639255</c:v>
                </c:pt>
                <c:pt idx="709">
                  <c:v>-4.7442738176630321</c:v>
                </c:pt>
                <c:pt idx="710">
                  <c:v>-4.7494943341065312</c:v>
                </c:pt>
                <c:pt idx="711">
                  <c:v>-4.7547148656939076</c:v>
                </c:pt>
                <c:pt idx="712">
                  <c:v>-4.7599354124246434</c:v>
                </c:pt>
                <c:pt idx="713">
                  <c:v>-4.7651559742982226</c:v>
                </c:pt>
                <c:pt idx="714">
                  <c:v>-4.7703765513141283</c:v>
                </c:pt>
                <c:pt idx="715">
                  <c:v>-4.7755971434718436</c:v>
                </c:pt>
                <c:pt idx="716">
                  <c:v>-4.7808177507708525</c:v>
                </c:pt>
                <c:pt idx="717">
                  <c:v>-4.786038373210638</c:v>
                </c:pt>
                <c:pt idx="718">
                  <c:v>-4.7912590107906832</c:v>
                </c:pt>
                <c:pt idx="719">
                  <c:v>-4.7964796635104721</c:v>
                </c:pt>
                <c:pt idx="720">
                  <c:v>-4.8017003313694877</c:v>
                </c:pt>
                <c:pt idx="721">
                  <c:v>-4.8069210143672141</c:v>
                </c:pt>
                <c:pt idx="722">
                  <c:v>-4.8121417125031343</c:v>
                </c:pt>
                <c:pt idx="723">
                  <c:v>-4.8173624257767322</c:v>
                </c:pt>
                <c:pt idx="724">
                  <c:v>-4.8225831541874911</c:v>
                </c:pt>
                <c:pt idx="725">
                  <c:v>-4.8278038977348947</c:v>
                </c:pt>
                <c:pt idx="726">
                  <c:v>-4.8330246564184263</c:v>
                </c:pt>
                <c:pt idx="727">
                  <c:v>-4.8382454302375688</c:v>
                </c:pt>
                <c:pt idx="728">
                  <c:v>-4.8434662191918063</c:v>
                </c:pt>
                <c:pt idx="729">
                  <c:v>-4.8486870232806227</c:v>
                </c:pt>
                <c:pt idx="730">
                  <c:v>-4.8539078425035012</c:v>
                </c:pt>
                <c:pt idx="731">
                  <c:v>-4.8591286768599256</c:v>
                </c:pt>
                <c:pt idx="732">
                  <c:v>-4.8643495263493799</c:v>
                </c:pt>
                <c:pt idx="733">
                  <c:v>-4.8695703909713473</c:v>
                </c:pt>
                <c:pt idx="734">
                  <c:v>-4.8747912707253116</c:v>
                </c:pt>
                <c:pt idx="735">
                  <c:v>-4.880012165610756</c:v>
                </c:pt>
                <c:pt idx="736">
                  <c:v>-4.8852330756271645</c:v>
                </c:pt>
                <c:pt idx="737">
                  <c:v>-4.8904540007740209</c:v>
                </c:pt>
                <c:pt idx="738">
                  <c:v>-4.8956749410508085</c:v>
                </c:pt>
                <c:pt idx="739">
                  <c:v>-4.9008958964570111</c:v>
                </c:pt>
                <c:pt idx="740">
                  <c:v>-4.9061168669921127</c:v>
                </c:pt>
                <c:pt idx="741">
                  <c:v>-4.9113378526555973</c:v>
                </c:pt>
                <c:pt idx="742">
                  <c:v>-4.916558853446948</c:v>
                </c:pt>
                <c:pt idx="743">
                  <c:v>-4.9217798693656496</c:v>
                </c:pt>
                <c:pt idx="744">
                  <c:v>-4.9270009004111852</c:v>
                </c:pt>
                <c:pt idx="745">
                  <c:v>-4.9322219465830379</c:v>
                </c:pt>
                <c:pt idx="746">
                  <c:v>-4.9374430078806926</c:v>
                </c:pt>
                <c:pt idx="747">
                  <c:v>-4.9426640843036331</c:v>
                </c:pt>
                <c:pt idx="748">
                  <c:v>-4.9478851758513427</c:v>
                </c:pt>
                <c:pt idx="749">
                  <c:v>-4.9531062825233052</c:v>
                </c:pt>
                <c:pt idx="750">
                  <c:v>-4.9583274043190046</c:v>
                </c:pt>
                <c:pt idx="751">
                  <c:v>-4.963548541237925</c:v>
                </c:pt>
                <c:pt idx="752">
                  <c:v>-4.9687696932795502</c:v>
                </c:pt>
                <c:pt idx="753">
                  <c:v>-4.9739908604433642</c:v>
                </c:pt>
                <c:pt idx="754">
                  <c:v>-4.9792120427288511</c:v>
                </c:pt>
                <c:pt idx="755">
                  <c:v>-4.9844332401354947</c:v>
                </c:pt>
                <c:pt idx="756">
                  <c:v>-4.9896544526627782</c:v>
                </c:pt>
                <c:pt idx="757">
                  <c:v>-4.9948756803101864</c:v>
                </c:pt>
                <c:pt idx="758">
                  <c:v>-5.0000969230772032</c:v>
                </c:pt>
                <c:pt idx="759">
                  <c:v>-5.0053181809633127</c:v>
                </c:pt>
                <c:pt idx="760">
                  <c:v>-5.0105394539679988</c:v>
                </c:pt>
                <c:pt idx="761">
                  <c:v>-5.0157607420907455</c:v>
                </c:pt>
                <c:pt idx="762">
                  <c:v>-5.0209820453310368</c:v>
                </c:pt>
                <c:pt idx="763">
                  <c:v>-5.0262033636883565</c:v>
                </c:pt>
                <c:pt idx="764">
                  <c:v>-5.0314246971621888</c:v>
                </c:pt>
                <c:pt idx="765">
                  <c:v>-5.0366460457520175</c:v>
                </c:pt>
                <c:pt idx="766">
                  <c:v>-5.0418674094573275</c:v>
                </c:pt>
                <c:pt idx="767">
                  <c:v>-5.0470887882776028</c:v>
                </c:pt>
                <c:pt idx="768">
                  <c:v>-5.0523101822123273</c:v>
                </c:pt>
                <c:pt idx="769">
                  <c:v>-5.0575315912609851</c:v>
                </c:pt>
                <c:pt idx="770">
                  <c:v>-5.06275301542306</c:v>
                </c:pt>
                <c:pt idx="771">
                  <c:v>-5.0679744546980361</c:v>
                </c:pt>
                <c:pt idx="772">
                  <c:v>-5.0731959090853982</c:v>
                </c:pt>
                <c:pt idx="773">
                  <c:v>-5.0784173785846303</c:v>
                </c:pt>
                <c:pt idx="774">
                  <c:v>-5.0836388631952163</c:v>
                </c:pt>
                <c:pt idx="775">
                  <c:v>-5.0888603629166411</c:v>
                </c:pt>
                <c:pt idx="776">
                  <c:v>-5.0940818777483887</c:v>
                </c:pt>
                <c:pt idx="777">
                  <c:v>-5.0993034076899431</c:v>
                </c:pt>
                <c:pt idx="778">
                  <c:v>-5.104524952740789</c:v>
                </c:pt>
                <c:pt idx="779">
                  <c:v>-5.1097465129004105</c:v>
                </c:pt>
                <c:pt idx="780">
                  <c:v>-5.1149680881682915</c:v>
                </c:pt>
                <c:pt idx="781">
                  <c:v>-5.120189678543916</c:v>
                </c:pt>
                <c:pt idx="782">
                  <c:v>-5.1254112840267698</c:v>
                </c:pt>
                <c:pt idx="783">
                  <c:v>-5.1306329046163359</c:v>
                </c:pt>
                <c:pt idx="784">
                  <c:v>-5.1358545403120992</c:v>
                </c:pt>
                <c:pt idx="785">
                  <c:v>-5.1410761911135436</c:v>
                </c:pt>
                <c:pt idx="786">
                  <c:v>-5.1462978570201541</c:v>
                </c:pt>
                <c:pt idx="787">
                  <c:v>-5.1515195380314145</c:v>
                </c:pt>
                <c:pt idx="788">
                  <c:v>-5.1567412341468097</c:v>
                </c:pt>
                <c:pt idx="789">
                  <c:v>-5.1619629453658238</c:v>
                </c:pt>
                <c:pt idx="790">
                  <c:v>-5.1671846716879415</c:v>
                </c:pt>
                <c:pt idx="791">
                  <c:v>-5.1724064131126477</c:v>
                </c:pt>
                <c:pt idx="792">
                  <c:v>-5.1776281696394264</c:v>
                </c:pt>
                <c:pt idx="793">
                  <c:v>-5.1828499412677616</c:v>
                </c:pt>
                <c:pt idx="794">
                  <c:v>-5.188071727997138</c:v>
                </c:pt>
                <c:pt idx="795">
                  <c:v>-5.1932935298270406</c:v>
                </c:pt>
                <c:pt idx="796">
                  <c:v>-5.1985153467569534</c:v>
                </c:pt>
                <c:pt idx="797">
                  <c:v>-5.2037371787863611</c:v>
                </c:pt>
                <c:pt idx="798">
                  <c:v>-5.2089590259147487</c:v>
                </c:pt>
                <c:pt idx="799">
                  <c:v>-5.2141808881416001</c:v>
                </c:pt>
                <c:pt idx="800">
                  <c:v>-5.2194027654664001</c:v>
                </c:pt>
                <c:pt idx="801">
                  <c:v>-5.2246246578886337</c:v>
                </c:pt>
                <c:pt idx="802">
                  <c:v>-5.2298465654077848</c:v>
                </c:pt>
                <c:pt idx="803">
                  <c:v>-5.2350684880233382</c:v>
                </c:pt>
                <c:pt idx="804">
                  <c:v>-5.2402904257347789</c:v>
                </c:pt>
                <c:pt idx="805">
                  <c:v>-5.2455123785415916</c:v>
                </c:pt>
                <c:pt idx="806">
                  <c:v>-5.2507343464432603</c:v>
                </c:pt>
                <c:pt idx="807">
                  <c:v>-5.2559563294392708</c:v>
                </c:pt>
                <c:pt idx="808">
                  <c:v>-5.2611783275291071</c:v>
                </c:pt>
                <c:pt idx="809">
                  <c:v>-5.2664003407122539</c:v>
                </c:pt>
                <c:pt idx="810">
                  <c:v>-5.2716223689881954</c:v>
                </c:pt>
                <c:pt idx="811">
                  <c:v>-5.2768444123564171</c:v>
                </c:pt>
                <c:pt idx="812">
                  <c:v>-5.2820664708164031</c:v>
                </c:pt>
                <c:pt idx="813">
                  <c:v>-5.2872885443676392</c:v>
                </c:pt>
                <c:pt idx="814">
                  <c:v>-5.2925106330096092</c:v>
                </c:pt>
                <c:pt idx="815">
                  <c:v>-5.2977327367417981</c:v>
                </c:pt>
                <c:pt idx="816">
                  <c:v>-5.3029548555636907</c:v>
                </c:pt>
                <c:pt idx="817">
                  <c:v>-5.3081769894747719</c:v>
                </c:pt>
                <c:pt idx="818">
                  <c:v>-5.3133991384745274</c:v>
                </c:pt>
                <c:pt idx="819">
                  <c:v>-5.3186213025624411</c:v>
                </c:pt>
                <c:pt idx="820">
                  <c:v>-5.323843481737998</c:v>
                </c:pt>
                <c:pt idx="821">
                  <c:v>-5.3290656760006829</c:v>
                </c:pt>
                <c:pt idx="822">
                  <c:v>-5.3342878853499807</c:v>
                </c:pt>
                <c:pt idx="823">
                  <c:v>-5.3395101097853761</c:v>
                </c:pt>
                <c:pt idx="824">
                  <c:v>-5.3447323493063541</c:v>
                </c:pt>
                <c:pt idx="825">
                  <c:v>-5.3499546039124004</c:v>
                </c:pt>
                <c:pt idx="826">
                  <c:v>-5.355176873602999</c:v>
                </c:pt>
                <c:pt idx="827">
                  <c:v>-5.3603991583776356</c:v>
                </c:pt>
                <c:pt idx="828">
                  <c:v>-5.3656214582357942</c:v>
                </c:pt>
                <c:pt idx="829">
                  <c:v>-5.3708437731769605</c:v>
                </c:pt>
                <c:pt idx="830">
                  <c:v>-5.3760661032006194</c:v>
                </c:pt>
                <c:pt idx="831">
                  <c:v>-5.3812884483062566</c:v>
                </c:pt>
                <c:pt idx="832">
                  <c:v>-5.3865108084933562</c:v>
                </c:pt>
                <c:pt idx="833">
                  <c:v>-5.3917331837614038</c:v>
                </c:pt>
                <c:pt idx="834">
                  <c:v>-5.3969555741098834</c:v>
                </c:pt>
                <c:pt idx="835">
                  <c:v>-5.4021779795382807</c:v>
                </c:pt>
                <c:pt idx="836">
                  <c:v>-5.4074004000460816</c:v>
                </c:pt>
                <c:pt idx="837">
                  <c:v>-5.4126228356327699</c:v>
                </c:pt>
                <c:pt idx="838">
                  <c:v>-5.4178452862978315</c:v>
                </c:pt>
                <c:pt idx="839">
                  <c:v>-5.4230677520407511</c:v>
                </c:pt>
                <c:pt idx="840">
                  <c:v>-5.4282902328610145</c:v>
                </c:pt>
                <c:pt idx="841">
                  <c:v>-5.4335127287581066</c:v>
                </c:pt>
                <c:pt idx="842">
                  <c:v>-5.4387352397315123</c:v>
                </c:pt>
                <c:pt idx="843">
                  <c:v>-5.4439577657807172</c:v>
                </c:pt>
                <c:pt idx="844">
                  <c:v>-5.4491803069052063</c:v>
                </c:pt>
                <c:pt idx="845">
                  <c:v>-5.4544028631044643</c:v>
                </c:pt>
                <c:pt idx="846">
                  <c:v>-5.4596254343779771</c:v>
                </c:pt>
                <c:pt idx="847">
                  <c:v>-5.4648480207252295</c:v>
                </c:pt>
                <c:pt idx="848">
                  <c:v>-5.4700706221457072</c:v>
                </c:pt>
                <c:pt idx="849">
                  <c:v>-5.4752932386388951</c:v>
                </c:pt>
                <c:pt idx="850">
                  <c:v>-5.4805158702042789</c:v>
                </c:pt>
                <c:pt idx="851">
                  <c:v>-5.4857385168413435</c:v>
                </c:pt>
                <c:pt idx="852">
                  <c:v>-5.4909611785495738</c:v>
                </c:pt>
                <c:pt idx="853">
                  <c:v>-5.4961838553284563</c:v>
                </c:pt>
                <c:pt idx="854">
                  <c:v>-5.5014065471774751</c:v>
                </c:pt>
                <c:pt idx="855">
                  <c:v>-5.5066292540961168</c:v>
                </c:pt>
                <c:pt idx="856">
                  <c:v>-5.5118519760838662</c:v>
                </c:pt>
                <c:pt idx="857">
                  <c:v>-5.5170747131402083</c:v>
                </c:pt>
                <c:pt idx="858">
                  <c:v>-5.5222974652646286</c:v>
                </c:pt>
                <c:pt idx="859">
                  <c:v>-5.5275202324566131</c:v>
                </c:pt>
                <c:pt idx="860">
                  <c:v>-5.5327430147156464</c:v>
                </c:pt>
                <c:pt idx="861">
                  <c:v>-5.5379658120412145</c:v>
                </c:pt>
                <c:pt idx="862">
                  <c:v>-5.543188624432803</c:v>
                </c:pt>
                <c:pt idx="863">
                  <c:v>-5.5484114518898968</c:v>
                </c:pt>
                <c:pt idx="864">
                  <c:v>-5.5536342944119816</c:v>
                </c:pt>
                <c:pt idx="865">
                  <c:v>-5.5588571519985432</c:v>
                </c:pt>
                <c:pt idx="866">
                  <c:v>-5.5640800246490674</c:v>
                </c:pt>
                <c:pt idx="867">
                  <c:v>-5.5693029123630389</c:v>
                </c:pt>
                <c:pt idx="868">
                  <c:v>-5.5745258151399435</c:v>
                </c:pt>
                <c:pt idx="869">
                  <c:v>-5.579748732979267</c:v>
                </c:pt>
                <c:pt idx="870">
                  <c:v>-5.5849716658804942</c:v>
                </c:pt>
                <c:pt idx="871">
                  <c:v>-5.5901946138431118</c:v>
                </c:pt>
                <c:pt idx="872">
                  <c:v>-5.5954175768666046</c:v>
                </c:pt>
                <c:pt idx="873">
                  <c:v>-5.6006405549504583</c:v>
                </c:pt>
                <c:pt idx="874">
                  <c:v>-5.6058635480941588</c:v>
                </c:pt>
                <c:pt idx="875">
                  <c:v>-5.6110865562971917</c:v>
                </c:pt>
                <c:pt idx="876">
                  <c:v>-5.6163095795590428</c:v>
                </c:pt>
                <c:pt idx="877">
                  <c:v>-5.6215326178791978</c:v>
                </c:pt>
                <c:pt idx="878">
                  <c:v>-5.6267556712571416</c:v>
                </c:pt>
                <c:pt idx="879">
                  <c:v>-5.6319787396923608</c:v>
                </c:pt>
                <c:pt idx="880">
                  <c:v>-5.6372018231843404</c:v>
                </c:pt>
                <c:pt idx="881">
                  <c:v>-5.6424249217325668</c:v>
                </c:pt>
                <c:pt idx="882">
                  <c:v>-5.647648035336525</c:v>
                </c:pt>
                <c:pt idx="883">
                  <c:v>-5.6528711639957017</c:v>
                </c:pt>
                <c:pt idx="884">
                  <c:v>-5.6580943077095815</c:v>
                </c:pt>
                <c:pt idx="885">
                  <c:v>-5.6633174664776513</c:v>
                </c:pt>
                <c:pt idx="886">
                  <c:v>-5.6685406402993959</c:v>
                </c:pt>
                <c:pt idx="887">
                  <c:v>-5.6737638291743018</c:v>
                </c:pt>
                <c:pt idx="888">
                  <c:v>-5.6789870331018548</c:v>
                </c:pt>
                <c:pt idx="889">
                  <c:v>-5.6842102520815407</c:v>
                </c:pt>
                <c:pt idx="890">
                  <c:v>-5.6894334861128453</c:v>
                </c:pt>
                <c:pt idx="891">
                  <c:v>-5.6946567351952542</c:v>
                </c:pt>
                <c:pt idx="892">
                  <c:v>-5.6998799993282532</c:v>
                </c:pt>
                <c:pt idx="893">
                  <c:v>-5.705103278511328</c:v>
                </c:pt>
                <c:pt idx="894">
                  <c:v>-5.7103265727439654</c:v>
                </c:pt>
                <c:pt idx="895">
                  <c:v>-5.715549882025651</c:v>
                </c:pt>
                <c:pt idx="896">
                  <c:v>-5.7207732063558705</c:v>
                </c:pt>
                <c:pt idx="897">
                  <c:v>-5.7259965457341098</c:v>
                </c:pt>
                <c:pt idx="898">
                  <c:v>-5.7312199001598554</c:v>
                </c:pt>
                <c:pt idx="899">
                  <c:v>-5.7364432696325922</c:v>
                </c:pt>
                <c:pt idx="900">
                  <c:v>-5.7416666541518069</c:v>
                </c:pt>
                <c:pt idx="901">
                  <c:v>-5.746890053716986</c:v>
                </c:pt>
                <c:pt idx="902">
                  <c:v>-5.7521134683276145</c:v>
                </c:pt>
                <c:pt idx="903">
                  <c:v>-5.7573368979831789</c:v>
                </c:pt>
                <c:pt idx="904">
                  <c:v>-5.762560342683166</c:v>
                </c:pt>
                <c:pt idx="905">
                  <c:v>-5.7677838024270605</c:v>
                </c:pt>
                <c:pt idx="906">
                  <c:v>-5.773007277214349</c:v>
                </c:pt>
                <c:pt idx="907">
                  <c:v>-5.7782307670445183</c:v>
                </c:pt>
                <c:pt idx="908">
                  <c:v>-5.7834542719170541</c:v>
                </c:pt>
                <c:pt idx="909">
                  <c:v>-5.788677791831442</c:v>
                </c:pt>
                <c:pt idx="910">
                  <c:v>-5.793901326787168</c:v>
                </c:pt>
                <c:pt idx="911">
                  <c:v>-5.7991248767837194</c:v>
                </c:pt>
                <c:pt idx="912">
                  <c:v>-5.8043484418205811</c:v>
                </c:pt>
                <c:pt idx="913">
                  <c:v>-5.8095720218972398</c:v>
                </c:pt>
                <c:pt idx="914">
                  <c:v>-5.814795617013182</c:v>
                </c:pt>
                <c:pt idx="915">
                  <c:v>-5.8200192271678937</c:v>
                </c:pt>
                <c:pt idx="916">
                  <c:v>-5.8252428523608604</c:v>
                </c:pt>
                <c:pt idx="917">
                  <c:v>-5.8304664925915697</c:v>
                </c:pt>
                <c:pt idx="918">
                  <c:v>-5.8356901478595065</c:v>
                </c:pt>
                <c:pt idx="919">
                  <c:v>-5.8409138181641582</c:v>
                </c:pt>
                <c:pt idx="920">
                  <c:v>-5.8461375035050107</c:v>
                </c:pt>
                <c:pt idx="921">
                  <c:v>-5.8513612038815497</c:v>
                </c:pt>
                <c:pt idx="922">
                  <c:v>-5.8565849192932617</c:v>
                </c:pt>
                <c:pt idx="923">
                  <c:v>-5.8618086497396336</c:v>
                </c:pt>
                <c:pt idx="924">
                  <c:v>-5.8670323952201509</c:v>
                </c:pt>
                <c:pt idx="925">
                  <c:v>-5.8722561557343012</c:v>
                </c:pt>
                <c:pt idx="926">
                  <c:v>-5.8774799312815693</c:v>
                </c:pt>
                <c:pt idx="927">
                  <c:v>-5.8827037218614429</c:v>
                </c:pt>
                <c:pt idx="928">
                  <c:v>-5.8879275274734075</c:v>
                </c:pt>
                <c:pt idx="929">
                  <c:v>-5.89315134811695</c:v>
                </c:pt>
                <c:pt idx="930">
                  <c:v>-5.8983751837915568</c:v>
                </c:pt>
                <c:pt idx="931">
                  <c:v>-5.9035990344967137</c:v>
                </c:pt>
                <c:pt idx="932">
                  <c:v>-5.9088229002319084</c:v>
                </c:pt>
                <c:pt idx="933">
                  <c:v>-5.9140467809966264</c:v>
                </c:pt>
                <c:pt idx="934">
                  <c:v>-5.9192706767903545</c:v>
                </c:pt>
                <c:pt idx="935">
                  <c:v>-5.9244945876125783</c:v>
                </c:pt>
                <c:pt idx="936">
                  <c:v>-5.9297185134627854</c:v>
                </c:pt>
                <c:pt idx="937">
                  <c:v>-5.9349424543404616</c:v>
                </c:pt>
                <c:pt idx="938">
                  <c:v>-5.9401664102450944</c:v>
                </c:pt>
                <c:pt idx="939">
                  <c:v>-5.9453903811761695</c:v>
                </c:pt>
                <c:pt idx="940">
                  <c:v>-5.9506143671331735</c:v>
                </c:pt>
                <c:pt idx="941">
                  <c:v>-5.9558383681155931</c:v>
                </c:pt>
                <c:pt idx="942">
                  <c:v>-5.9610623841229149</c:v>
                </c:pt>
                <c:pt idx="943">
                  <c:v>-5.9662864151546255</c:v>
                </c:pt>
                <c:pt idx="944">
                  <c:v>-5.9715104612102117</c:v>
                </c:pt>
                <c:pt idx="945">
                  <c:v>-5.9767345222891599</c:v>
                </c:pt>
                <c:pt idx="946">
                  <c:v>-5.9819585983909569</c:v>
                </c:pt>
                <c:pt idx="947">
                  <c:v>-5.9871826895150893</c:v>
                </c:pt>
                <c:pt idx="948">
                  <c:v>-5.9924067956610436</c:v>
                </c:pt>
                <c:pt idx="949">
                  <c:v>-5.9976309168283066</c:v>
                </c:pt>
                <c:pt idx="950">
                  <c:v>-6.0028550530163649</c:v>
                </c:pt>
                <c:pt idx="951">
                  <c:v>-6.0080792042247051</c:v>
                </c:pt>
                <c:pt idx="952">
                  <c:v>-6.0133033704528138</c:v>
                </c:pt>
                <c:pt idx="953">
                  <c:v>-6.0185275517001786</c:v>
                </c:pt>
                <c:pt idx="954">
                  <c:v>-6.0237517479662852</c:v>
                </c:pt>
                <c:pt idx="955">
                  <c:v>-6.0289759592506211</c:v>
                </c:pt>
                <c:pt idx="956">
                  <c:v>-6.034200185552673</c:v>
                </c:pt>
                <c:pt idx="957">
                  <c:v>-6.0394244268719275</c:v>
                </c:pt>
                <c:pt idx="958">
                  <c:v>-6.0446486832078712</c:v>
                </c:pt>
                <c:pt idx="959">
                  <c:v>-6.0498729545599916</c:v>
                </c:pt>
                <c:pt idx="960">
                  <c:v>-6.0550972409277746</c:v>
                </c:pt>
                <c:pt idx="961">
                  <c:v>-6.0603215423107075</c:v>
                </c:pt>
                <c:pt idx="962">
                  <c:v>-6.0655458587082771</c:v>
                </c:pt>
                <c:pt idx="963">
                  <c:v>-6.0707701901199709</c:v>
                </c:pt>
                <c:pt idx="964">
                  <c:v>-6.0759945365452754</c:v>
                </c:pt>
                <c:pt idx="965">
                  <c:v>-6.0812188979836774</c:v>
                </c:pt>
                <c:pt idx="966">
                  <c:v>-6.0864432744346635</c:v>
                </c:pt>
                <c:pt idx="967">
                  <c:v>-6.0916676658977211</c:v>
                </c:pt>
                <c:pt idx="968">
                  <c:v>-6.096892072372337</c:v>
                </c:pt>
                <c:pt idx="969">
                  <c:v>-6.1021164938579977</c:v>
                </c:pt>
                <c:pt idx="970">
                  <c:v>-6.1073409303541908</c:v>
                </c:pt>
                <c:pt idx="971">
                  <c:v>-6.1125653818604029</c:v>
                </c:pt>
                <c:pt idx="972">
                  <c:v>-6.1177898483761215</c:v>
                </c:pt>
                <c:pt idx="973">
                  <c:v>-6.1230143299008333</c:v>
                </c:pt>
                <c:pt idx="974">
                  <c:v>-6.1282388264340257</c:v>
                </c:pt>
                <c:pt idx="975">
                  <c:v>-6.1334633379751855</c:v>
                </c:pt>
                <c:pt idx="976">
                  <c:v>-6.1386878645237992</c:v>
                </c:pt>
                <c:pt idx="977">
                  <c:v>-6.1439124060793544</c:v>
                </c:pt>
                <c:pt idx="978">
                  <c:v>-6.1491369626413386</c:v>
                </c:pt>
                <c:pt idx="979">
                  <c:v>-6.1543615342092384</c:v>
                </c:pt>
                <c:pt idx="980">
                  <c:v>-6.1595861207825404</c:v>
                </c:pt>
                <c:pt idx="981">
                  <c:v>-6.1648107223607331</c:v>
                </c:pt>
                <c:pt idx="982">
                  <c:v>-6.1700353389433022</c:v>
                </c:pt>
                <c:pt idx="983">
                  <c:v>-6.1752599705297362</c:v>
                </c:pt>
                <c:pt idx="984">
                  <c:v>-6.1804846171195216</c:v>
                </c:pt>
                <c:pt idx="985">
                  <c:v>-6.185709278712145</c:v>
                </c:pt>
                <c:pt idx="986">
                  <c:v>-6.1909339553070941</c:v>
                </c:pt>
                <c:pt idx="987">
                  <c:v>-6.1961586469038563</c:v>
                </c:pt>
                <c:pt idx="988">
                  <c:v>-6.2013833535019192</c:v>
                </c:pt>
                <c:pt idx="989">
                  <c:v>-6.2066080751007693</c:v>
                </c:pt>
                <c:pt idx="990">
                  <c:v>-6.2118328116998942</c:v>
                </c:pt>
                <c:pt idx="991">
                  <c:v>-6.2170575632987815</c:v>
                </c:pt>
                <c:pt idx="992">
                  <c:v>-6.2222823298969177</c:v>
                </c:pt>
                <c:pt idx="993">
                  <c:v>-6.2275071114937903</c:v>
                </c:pt>
                <c:pt idx="994">
                  <c:v>-6.232731908088887</c:v>
                </c:pt>
                <c:pt idx="995">
                  <c:v>-6.2379567196816952</c:v>
                </c:pt>
                <c:pt idx="996">
                  <c:v>-6.2431815462717015</c:v>
                </c:pt>
                <c:pt idx="997">
                  <c:v>-6.2484063878583935</c:v>
                </c:pt>
                <c:pt idx="998">
                  <c:v>-6.2536312444412596</c:v>
                </c:pt>
                <c:pt idx="999">
                  <c:v>-6.2588561160197864</c:v>
                </c:pt>
                <c:pt idx="1000">
                  <c:v>-6.2640810025934606</c:v>
                </c:pt>
              </c:numCache>
            </c:numRef>
          </c:yVal>
          <c:smooth val="1"/>
          <c:extLst>
            <c:ext xmlns:c16="http://schemas.microsoft.com/office/drawing/2014/chart" uri="{C3380CC4-5D6E-409C-BE32-E72D297353CC}">
              <c16:uniqueId val="{00000001-432A-49A9-9499-7ED3E32DDB07}"/>
            </c:ext>
          </c:extLst>
        </c:ser>
        <c:ser>
          <c:idx val="2"/>
          <c:order val="2"/>
          <c:tx>
            <c:strRef>
              <c:f>Trajecto!$B$108</c:f>
              <c:strCache>
                <c:ptCount val="1"/>
                <c:pt idx="0">
                  <c:v>Descente balistique</c:v>
                </c:pt>
              </c:strCache>
            </c:strRef>
          </c:tx>
          <c:spPr>
            <a:ln w="12700">
              <a:solidFill>
                <a:srgbClr val="808080"/>
              </a:solidFill>
              <a:prstDash val="sysDash"/>
            </a:ln>
          </c:spPr>
          <c:marker>
            <c:symbol val="none"/>
          </c:marker>
          <c:xVal>
            <c:numRef>
              <c:f>Calculs!$J$4:$J$1004</c:f>
              <c:numCache>
                <c:formatCode>0.00</c:formatCode>
                <c:ptCount val="1001"/>
                <c:pt idx="0">
                  <c:v>0</c:v>
                </c:pt>
                <c:pt idx="1">
                  <c:v>6.7783774822309894E-5</c:v>
                </c:pt>
                <c:pt idx="2">
                  <c:v>8.5917524268844616E-4</c:v>
                </c:pt>
                <c:pt idx="3">
                  <c:v>3.4467856674852354E-3</c:v>
                </c:pt>
                <c:pt idx="4">
                  <c:v>8.4015773779175448E-3</c:v>
                </c:pt>
                <c:pt idx="5">
                  <c:v>1.5807645083408789E-2</c:v>
                </c:pt>
                <c:pt idx="6">
                  <c:v>2.5580948224850325E-2</c:v>
                </c:pt>
                <c:pt idx="7">
                  <c:v>3.7557745617713273E-2</c:v>
                </c:pt>
                <c:pt idx="8">
                  <c:v>5.1631019987200918E-2</c:v>
                </c:pt>
                <c:pt idx="9">
                  <c:v>6.7807859040123555E-2</c:v>
                </c:pt>
                <c:pt idx="10">
                  <c:v>8.6152459782905796E-2</c:v>
                </c:pt>
                <c:pt idx="11">
                  <c:v>0.1067168735863283</c:v>
                </c:pt>
                <c:pt idx="12">
                  <c:v>0.12952886380755788</c:v>
                </c:pt>
                <c:pt idx="13">
                  <c:v>0.15460396180885039</c:v>
                </c:pt>
                <c:pt idx="14">
                  <c:v>0.18195755541462671</c:v>
                </c:pt>
                <c:pt idx="15">
                  <c:v>0.21160488547451356</c:v>
                </c:pt>
                <c:pt idx="16">
                  <c:v>0.24356104243613866</c:v>
                </c:pt>
                <c:pt idx="17">
                  <c:v>0.27784096292963201</c:v>
                </c:pt>
                <c:pt idx="18">
                  <c:v>0.31445942636580693</c:v>
                </c:pt>
                <c:pt idx="19">
                  <c:v>0.35343105155001425</c:v>
                </c:pt>
                <c:pt idx="20">
                  <c:v>0.39477029331368158</c:v>
                </c:pt>
                <c:pt idx="21">
                  <c:v>0.43848951301873451</c:v>
                </c:pt>
                <c:pt idx="22">
                  <c:v>0.48468099402825987</c:v>
                </c:pt>
                <c:pt idx="23">
                  <c:v>0.53343939310839017</c:v>
                </c:pt>
                <c:pt idx="24">
                  <c:v>0.58477960085660852</c:v>
                </c:pt>
                <c:pt idx="25">
                  <c:v>0.63871604002330273</c:v>
                </c:pt>
                <c:pt idx="26">
                  <c:v>0.69526262421254081</c:v>
                </c:pt>
                <c:pt idx="27">
                  <c:v>0.75443278162206173</c:v>
                </c:pt>
                <c:pt idx="28">
                  <c:v>0.81623947575588296</c:v>
                </c:pt>
                <c:pt idx="29">
                  <c:v>0.88069522358435426</c:v>
                </c:pt>
                <c:pt idx="30">
                  <c:v>0.94781211153902278</c:v>
                </c:pt>
                <c:pt idx="31">
                  <c:v>1.0175978200451203</c:v>
                </c:pt>
                <c:pt idx="32">
                  <c:v>1.0900516137417668</c:v>
                </c:pt>
                <c:pt idx="33">
                  <c:v>1.1651683059906524</c:v>
                </c:pt>
                <c:pt idx="34">
                  <c:v>1.242942259135928</c:v>
                </c:pt>
                <c:pt idx="35">
                  <c:v>1.3233674016784351</c:v>
                </c:pt>
                <c:pt idx="36">
                  <c:v>1.4064372441363855</c:v>
                </c:pt>
                <c:pt idx="37">
                  <c:v>1.4921448937634845</c:v>
                </c:pt>
                <c:pt idx="38">
                  <c:v>1.5804830682691837</c:v>
                </c:pt>
                <c:pt idx="39">
                  <c:v>1.671444108664097</c:v>
                </c:pt>
                <c:pt idx="40">
                  <c:v>1.7650199913356814</c:v>
                </c:pt>
                <c:pt idx="41">
                  <c:v>1.8612023394443464</c:v>
                </c:pt>
                <c:pt idx="42">
                  <c:v>1.959982433717635</c:v>
                </c:pt>
                <c:pt idx="43">
                  <c:v>2.0613512227095927</c:v>
                </c:pt>
                <c:pt idx="44">
                  <c:v>2.1652993325835137</c:v>
                </c:pt>
                <c:pt idx="45">
                  <c:v>2.2718170764686896</c:v>
                </c:pt>
                <c:pt idx="46">
                  <c:v>2.3808944634353049</c:v>
                </c:pt>
                <c:pt idx="47">
                  <c:v>2.4925212071260909</c:v>
                </c:pt>
                <c:pt idx="48">
                  <c:v>2.6066867340785747</c:v>
                </c:pt>
                <c:pt idx="49">
                  <c:v>2.7233801917676432</c:v>
                </c:pt>
                <c:pt idx="50">
                  <c:v>2.8425904563945759</c:v>
                </c:pt>
                <c:pt idx="51">
                  <c:v>2.9643061404455926</c:v>
                </c:pt>
                <c:pt idx="52">
                  <c:v>3.0885156000402714</c:v>
                </c:pt>
                <c:pt idx="53">
                  <c:v>3.2152069420878102</c:v>
                </c:pt>
                <c:pt idx="54">
                  <c:v>3.3443680312670514</c:v>
                </c:pt>
                <c:pt idx="55">
                  <c:v>3.475986496844353</c:v>
                </c:pt>
                <c:pt idx="56">
                  <c:v>3.6100497393417927</c:v>
                </c:pt>
                <c:pt idx="57">
                  <c:v>3.7465449370667754</c:v>
                </c:pt>
                <c:pt idx="58">
                  <c:v>3.8854590525128554</c:v>
                </c:pt>
                <c:pt idx="59">
                  <c:v>4.0267788386404799</c:v>
                </c:pt>
                <c:pt idx="60">
                  <c:v>4.1704908450453733</c:v>
                </c:pt>
                <c:pt idx="61">
                  <c:v>4.3165814240213995</c:v>
                </c:pt>
                <c:pt idx="62">
                  <c:v>4.4650367365239658</c:v>
                </c:pt>
                <c:pt idx="63">
                  <c:v>4.6158427580393333</c:v>
                </c:pt>
                <c:pt idx="64">
                  <c:v>4.7689852843645753</c:v>
                </c:pt>
                <c:pt idx="65">
                  <c:v>4.92444993730237</c:v>
                </c:pt>
                <c:pt idx="66">
                  <c:v>5.0822221702743215</c:v>
                </c:pt>
                <c:pt idx="67">
                  <c:v>5.2422872738560526</c:v>
                </c:pt>
                <c:pt idx="68">
                  <c:v>5.4046303812369265</c:v>
                </c:pt>
                <c:pt idx="69">
                  <c:v>5.5692364736068809</c:v>
                </c:pt>
                <c:pt idx="70">
                  <c:v>5.7360903854725596</c:v>
                </c:pt>
                <c:pt idx="71">
                  <c:v>5.9051783570322476</c:v>
                </c:pt>
                <c:pt idx="72">
                  <c:v>6.0764895876737084</c:v>
                </c:pt>
                <c:pt idx="73">
                  <c:v>6.2500146901173643</c:v>
                </c:pt>
                <c:pt idx="74">
                  <c:v>6.4257441425280559</c:v>
                </c:pt>
                <c:pt idx="75">
                  <c:v>6.6036682919666188</c:v>
                </c:pt>
                <c:pt idx="76">
                  <c:v>6.783777357816402</c:v>
                </c:pt>
                <c:pt idx="77">
                  <c:v>6.9660614351851322</c:v>
                </c:pt>
                <c:pt idx="78">
                  <c:v>7.1505104982824435</c:v>
                </c:pt>
                <c:pt idx="79">
                  <c:v>7.3371144037732892</c:v>
                </c:pt>
                <c:pt idx="80">
                  <c:v>7.52586289410739</c:v>
                </c:pt>
                <c:pt idx="81">
                  <c:v>7.7167456008247957</c:v>
                </c:pt>
                <c:pt idx="82">
                  <c:v>7.9097520478375678</c:v>
                </c:pt>
                <c:pt idx="83">
                  <c:v>8.1048716546875461</c:v>
                </c:pt>
                <c:pt idx="84">
                  <c:v>8.3020937397801067</c:v>
                </c:pt>
                <c:pt idx="85">
                  <c:v>8.5014075235937572</c:v>
                </c:pt>
                <c:pt idx="86">
                  <c:v>8.7028021318654165</c:v>
                </c:pt>
                <c:pt idx="87">
                  <c:v>8.9062665987511291</c:v>
                </c:pt>
                <c:pt idx="88">
                  <c:v>9.1116513203264073</c:v>
                </c:pt>
                <c:pt idx="89">
                  <c:v>9.3185297312731397</c:v>
                </c:pt>
                <c:pt idx="90">
                  <c:v>9.5263378369148448</c:v>
                </c:pt>
                <c:pt idx="91">
                  <c:v>9.7346161430481004</c:v>
                </c:pt>
                <c:pt idx="92">
                  <c:v>9.9431120359641305</c:v>
                </c:pt>
                <c:pt idx="93">
                  <c:v>10.151676538979542</c:v>
                </c:pt>
                <c:pt idx="94">
                  <c:v>10.360161318605044</c:v>
                </c:pt>
                <c:pt idx="95">
                  <c:v>10.568418697409548</c:v>
                </c:pt>
                <c:pt idx="96">
                  <c:v>10.776301664225391</c:v>
                </c:pt>
                <c:pt idx="97">
                  <c:v>10.983663881741347</c:v>
                </c:pt>
                <c:pt idx="98">
                  <c:v>11.19039715630325</c:v>
                </c:pt>
                <c:pt idx="99">
                  <c:v>11.396468754293156</c:v>
                </c:pt>
                <c:pt idx="100">
                  <c:v>11.601883570937048</c:v>
                </c:pt>
                <c:pt idx="101">
                  <c:v>11.806646449754231</c:v>
                </c:pt>
                <c:pt idx="102">
                  <c:v>12.010762183289799</c:v>
                </c:pt>
                <c:pt idx="103">
                  <c:v>12.214235513834156</c:v>
                </c:pt>
                <c:pt idx="104">
                  <c:v>12.417071134129881</c:v>
                </c:pt>
                <c:pt idx="105">
                  <c:v>12.619273688066198</c:v>
                </c:pt>
                <c:pt idx="106">
                  <c:v>12.820847771361326</c:v>
                </c:pt>
                <c:pt idx="107">
                  <c:v>13.021797932232934</c:v>
                </c:pt>
                <c:pt idx="108">
                  <c:v>13.222128672056977</c:v>
                </c:pt>
                <c:pt idx="109">
                  <c:v>13.42184444601514</c:v>
                </c:pt>
                <c:pt idx="110">
                  <c:v>13.620949663731121</c:v>
                </c:pt>
                <c:pt idx="111">
                  <c:v>13.819448689896012</c:v>
                </c:pt>
                <c:pt idx="112">
                  <c:v>14.017345844882955</c:v>
                </c:pt>
                <c:pt idx="113">
                  <c:v>14.214645405351339</c:v>
                </c:pt>
                <c:pt idx="114">
                  <c:v>14.411351604840725</c:v>
                </c:pt>
                <c:pt idx="115">
                  <c:v>14.60746863435471</c:v>
                </c:pt>
                <c:pt idx="116">
                  <c:v>14.803000642934951</c:v>
                </c:pt>
                <c:pt idx="117">
                  <c:v>14.99795173822552</c:v>
                </c:pt>
                <c:pt idx="118">
                  <c:v>15.192325987027822</c:v>
                </c:pt>
                <c:pt idx="119">
                  <c:v>15.386127415846216</c:v>
                </c:pt>
                <c:pt idx="120">
                  <c:v>15.579360011424583</c:v>
                </c:pt>
                <c:pt idx="121">
                  <c:v>15.772027721273966</c:v>
                </c:pt>
                <c:pt idx="122">
                  <c:v>15.964134454191505</c:v>
                </c:pt>
                <c:pt idx="123">
                  <c:v>16.155684080770808</c:v>
                </c:pt>
                <c:pt idx="124">
                  <c:v>16.346680433903938</c:v>
                </c:pt>
                <c:pt idx="125">
                  <c:v>16.537127309275196</c:v>
                </c:pt>
                <c:pt idx="126">
                  <c:v>16.727028465846825</c:v>
                </c:pt>
                <c:pt idx="127">
                  <c:v>16.916387626336832</c:v>
                </c:pt>
                <c:pt idx="128">
                  <c:v>17.105208477689061</c:v>
                </c:pt>
                <c:pt idx="129">
                  <c:v>17.293494671535662</c:v>
                </c:pt>
                <c:pt idx="130">
                  <c:v>17.481249824652121</c:v>
                </c:pt>
                <c:pt idx="131">
                  <c:v>17.668477519404981</c:v>
                </c:pt>
                <c:pt idx="132">
                  <c:v>17.855181304192403</c:v>
                </c:pt>
                <c:pt idx="133">
                  <c:v>18.041364693877696</c:v>
                </c:pt>
                <c:pt idx="134">
                  <c:v>18.227031170215959</c:v>
                </c:pt>
                <c:pt idx="135">
                  <c:v>18.41218418227395</c:v>
                </c:pt>
                <c:pt idx="136">
                  <c:v>18.596827146843349</c:v>
                </c:pt>
                <c:pt idx="137">
                  <c:v>18.780963448847483</c:v>
                </c:pt>
                <c:pt idx="138">
                  <c:v>18.964596441741683</c:v>
                </c:pt>
                <c:pt idx="139">
                  <c:v>19.147729447907377</c:v>
                </c:pt>
                <c:pt idx="140">
                  <c:v>19.330365759040035</c:v>
                </c:pt>
                <c:pt idx="141">
                  <c:v>19.512508636531074</c:v>
                </c:pt>
                <c:pt idx="142">
                  <c:v>19.694161311843857</c:v>
                </c:pt>
                <c:pt idx="143">
                  <c:v>19.875326986883877</c:v>
                </c:pt>
                <c:pt idx="144">
                  <c:v>20.056008834363226</c:v>
                </c:pt>
                <c:pt idx="145">
                  <c:v>20.236209998159495</c:v>
                </c:pt>
                <c:pt idx="146">
                  <c:v>20.415933593669152</c:v>
                </c:pt>
                <c:pt idx="147">
                  <c:v>20.595182708155541</c:v>
                </c:pt>
                <c:pt idx="148">
                  <c:v>20.773960401091593</c:v>
                </c:pt>
                <c:pt idx="149">
                  <c:v>20.952269704497326</c:v>
                </c:pt>
                <c:pt idx="150">
                  <c:v>21.130113623272244</c:v>
                </c:pt>
                <c:pt idx="151">
                  <c:v>21.307495135522732</c:v>
                </c:pt>
                <c:pt idx="152">
                  <c:v>21.484417192884528</c:v>
                </c:pt>
                <c:pt idx="153">
                  <c:v>21.660882720840359</c:v>
                </c:pt>
                <c:pt idx="154">
                  <c:v>21.83689461903284</c:v>
                </c:pt>
                <c:pt idx="155">
                  <c:v>22.012455761572703</c:v>
                </c:pt>
                <c:pt idx="156">
                  <c:v>22.187568997342456</c:v>
                </c:pt>
                <c:pt idx="157">
                  <c:v>22.362237150295552</c:v>
                </c:pt>
                <c:pt idx="158">
                  <c:v>22.536463019751128</c:v>
                </c:pt>
                <c:pt idx="159">
                  <c:v>22.71024938068442</c:v>
                </c:pt>
                <c:pt idx="160">
                  <c:v>22.883598984012906</c:v>
                </c:pt>
                <c:pt idx="161">
                  <c:v>23.056514556878273</c:v>
                </c:pt>
                <c:pt idx="162">
                  <c:v>23.228998802924266</c:v>
                </c:pt>
                <c:pt idx="163">
                  <c:v>23.401054402570498</c:v>
                </c:pt>
                <c:pt idx="164">
                  <c:v>23.572684013282288</c:v>
                </c:pt>
                <c:pt idx="165">
                  <c:v>23.743890269836601</c:v>
                </c:pt>
                <c:pt idx="166">
                  <c:v>23.914675784584151</c:v>
                </c:pt>
                <c:pt idx="167">
                  <c:v>24.08504314770774</c:v>
                </c:pt>
                <c:pt idx="168">
                  <c:v>24.254994927476886</c:v>
                </c:pt>
                <c:pt idx="169">
                  <c:v>24.424533670498825</c:v>
                </c:pt>
                <c:pt idx="170">
                  <c:v>24.593661901965934</c:v>
                </c:pt>
                <c:pt idx="171">
                  <c:v>24.76238212589962</c:v>
                </c:pt>
                <c:pt idx="172">
                  <c:v>24.930696825390786</c:v>
                </c:pt>
                <c:pt idx="173">
                  <c:v>25.098608462836872</c:v>
                </c:pt>
                <c:pt idx="174">
                  <c:v>25.266119480175568</c:v>
                </c:pt>
                <c:pt idx="175">
                  <c:v>25.433232299115243</c:v>
                </c:pt>
                <c:pt idx="176">
                  <c:v>25.59994932136215</c:v>
                </c:pt>
                <c:pt idx="177">
                  <c:v>25.766272928844455</c:v>
                </c:pt>
                <c:pt idx="178">
                  <c:v>25.932205483933135</c:v>
                </c:pt>
                <c:pt idx="179">
                  <c:v>26.09774932965983</c:v>
                </c:pt>
                <c:pt idx="180">
                  <c:v>26.262906789931659</c:v>
                </c:pt>
                <c:pt idx="181">
                  <c:v>26.42768016974307</c:v>
                </c:pt>
                <c:pt idx="182">
                  <c:v>26.592071755384794</c:v>
                </c:pt>
                <c:pt idx="183">
                  <c:v>26.756083814649894</c:v>
                </c:pt>
                <c:pt idx="184">
                  <c:v>26.919718597037029</c:v>
                </c:pt>
                <c:pt idx="185">
                  <c:v>27.082978333950905</c:v>
                </c:pt>
                <c:pt idx="186">
                  <c:v>27.245865238900024</c:v>
                </c:pt>
                <c:pt idx="187">
                  <c:v>27.40838150769174</c:v>
                </c:pt>
                <c:pt idx="188">
                  <c:v>27.570529318624658</c:v>
                </c:pt>
                <c:pt idx="189">
                  <c:v>27.732310832678458</c:v>
                </c:pt>
                <c:pt idx="190">
                  <c:v>27.893728193701136</c:v>
                </c:pt>
                <c:pt idx="191">
                  <c:v>28.054783528593756</c:v>
                </c:pt>
                <c:pt idx="192">
                  <c:v>28.215478947492699</c:v>
                </c:pt>
                <c:pt idx="193">
                  <c:v>28.375816543949494</c:v>
                </c:pt>
                <c:pt idx="194">
                  <c:v>28.535798395108259</c:v>
                </c:pt>
                <c:pt idx="195">
                  <c:v>28.695426561880751</c:v>
                </c:pt>
                <c:pt idx="196">
                  <c:v>28.854703089119141</c:v>
                </c:pt>
                <c:pt idx="197">
                  <c:v>29.013630005786464</c:v>
                </c:pt>
                <c:pt idx="198">
                  <c:v>29.172209325124847</c:v>
                </c:pt>
                <c:pt idx="199">
                  <c:v>29.330443044821511</c:v>
                </c:pt>
                <c:pt idx="200">
                  <c:v>29.488333147172604</c:v>
                </c:pt>
                <c:pt idx="201">
                  <c:v>31.04848749392449</c:v>
                </c:pt>
                <c:pt idx="202">
                  <c:v>32.57553464373288</c:v>
                </c:pt>
                <c:pt idx="203">
                  <c:v>34.071323259252196</c:v>
                </c:pt>
                <c:pt idx="204">
                  <c:v>35.537566963385679</c:v>
                </c:pt>
                <c:pt idx="205">
                  <c:v>36.975857604620757</c:v>
                </c:pt>
                <c:pt idx="206">
                  <c:v>38.387676933981773</c:v>
                </c:pt>
                <c:pt idx="207">
                  <c:v>39.774406917533284</c:v>
                </c:pt>
                <c:pt idx="208">
                  <c:v>41.137338872212709</c:v>
                </c:pt>
                <c:pt idx="209">
                  <c:v>42.477681583148744</c:v>
                </c:pt>
                <c:pt idx="210">
                  <c:v>43.796568536228769</c:v>
                </c:pt>
                <c:pt idx="211">
                  <c:v>45.095064379494247</c:v>
                </c:pt>
                <c:pt idx="212">
                  <c:v>46.374170710163888</c:v>
                </c:pt>
                <c:pt idx="213">
                  <c:v>47.634831270073775</c:v>
                </c:pt>
                <c:pt idx="214">
                  <c:v>48.877936620574225</c:v>
                </c:pt>
                <c:pt idx="215">
                  <c:v>50.10432835802861</c:v>
                </c:pt>
                <c:pt idx="216">
                  <c:v>51.314802922692394</c:v>
                </c:pt>
                <c:pt idx="217">
                  <c:v>52.510115046646142</c:v>
                </c:pt>
                <c:pt idx="218">
                  <c:v>53.690980880398854</c:v>
                </c:pt>
                <c:pt idx="219">
                  <c:v>54.858080832591099</c:v>
                </c:pt>
                <c:pt idx="220">
                  <c:v>56.012062152765623</c:v>
                </c:pt>
                <c:pt idx="221">
                  <c:v>57.153541283316727</c:v>
                </c:pt>
                <c:pt idx="222">
                  <c:v>58.283106003377632</c:v>
                </c:pt>
                <c:pt idx="223">
                  <c:v>59.401317384473629</c:v>
                </c:pt>
                <c:pt idx="224">
                  <c:v>60.508711575185956</c:v>
                </c:pt>
                <c:pt idx="225">
                  <c:v>61.60580142977517</c:v>
                </c:pt>
                <c:pt idx="226">
                  <c:v>62.693077993649538</c:v>
                </c:pt>
                <c:pt idx="227">
                  <c:v>63.771011856685185</c:v>
                </c:pt>
                <c:pt idx="228">
                  <c:v>64.840054383665802</c:v>
                </c:pt>
                <c:pt idx="229">
                  <c:v>65.900638829469585</c:v>
                </c:pt>
                <c:pt idx="230">
                  <c:v>66.953181345047909</c:v>
                </c:pt>
                <c:pt idx="231">
                  <c:v>67.998081878674327</c:v>
                </c:pt>
                <c:pt idx="232">
                  <c:v>69.035724975350078</c:v>
                </c:pt>
                <c:pt idx="233">
                  <c:v>70.066480475589657</c:v>
                </c:pt>
                <c:pt idx="234">
                  <c:v>71.090704113029005</c:v>
                </c:pt>
                <c:pt idx="235">
                  <c:v>72.108738008348979</c:v>
                </c:pt>
                <c:pt idx="236">
                  <c:v>73.120911054839269</c:v>
                </c:pt>
                <c:pt idx="237">
                  <c:v>74.127539188496158</c:v>
                </c:pt>
                <c:pt idx="238">
                  <c:v>75.128925532824852</c:v>
                </c:pt>
                <c:pt idx="239">
                  <c:v>76.125360405512041</c:v>
                </c:pt>
                <c:pt idx="240">
                  <c:v>77.117121170930204</c:v>
                </c:pt>
                <c:pt idx="241">
                  <c:v>78.104471919251921</c:v>
                </c:pt>
                <c:pt idx="242">
                  <c:v>79.087662950238965</c:v>
                </c:pt>
                <c:pt idx="243">
                  <c:v>80.066930038349838</c:v>
                </c:pt>
                <c:pt idx="244">
                  <c:v>81.042493457049744</c:v>
                </c:pt>
                <c:pt idx="245">
                  <c:v>82.01455674619838</c:v>
                </c:pt>
                <c:pt idx="246">
                  <c:v>82.983305219986406</c:v>
                </c:pt>
                <c:pt idx="247">
                  <c:v>83.948904237347577</c:v>
                </c:pt>
                <c:pt idx="248">
                  <c:v>84.911497294601872</c:v>
                </c:pt>
                <c:pt idx="249">
                  <c:v>85.871204050734647</c:v>
                </c:pt>
                <c:pt idx="250">
                  <c:v>86.828118452377439</c:v>
                </c:pt>
                <c:pt idx="251">
                  <c:v>87.78230717283499</c:v>
                </c:pt>
                <c:pt idx="252">
                  <c:v>88.73380859540184</c:v>
                </c:pt>
                <c:pt idx="253">
                  <c:v>89.682632536190738</c:v>
                </c:pt>
                <c:pt idx="254">
                  <c:v>90.628760812263451</c:v>
                </c:pt>
                <c:pt idx="255">
                  <c:v>91.5721486378729</c:v>
                </c:pt>
                <c:pt idx="256">
                  <c:v>92.512726713484838</c:v>
                </c:pt>
                <c:pt idx="257">
                  <c:v>93.45040379497209</c:v>
                </c:pt>
                <c:pt idx="258">
                  <c:v>94.385069509443383</c:v>
                </c:pt>
                <c:pt idx="259">
                  <c:v>95.316597211195202</c:v>
                </c:pt>
                <c:pt idx="260">
                  <c:v>96.244846724568077</c:v>
                </c:pt>
                <c:pt idx="261">
                  <c:v>97.169666878545655</c:v>
                </c:pt>
                <c:pt idx="262">
                  <c:v>98.090897787099223</c:v>
                </c:pt>
                <c:pt idx="263">
                  <c:v>99.008372864453619</c:v>
                </c:pt>
                <c:pt idx="264">
                  <c:v>99.921920586209097</c:v>
                </c:pt>
                <c:pt idx="265">
                  <c:v>100.83136601864129</c:v>
                </c:pt>
                <c:pt idx="266">
                  <c:v>101.73653214291689</c:v>
                </c:pt>
                <c:pt idx="267">
                  <c:v>102.6372410012043</c:v>
                </c:pt>
                <c:pt idx="268">
                  <c:v>103.53331468969751</c:v>
                </c:pt>
                <c:pt idx="269">
                  <c:v>104.42457622065822</c:v>
                </c:pt>
                <c:pt idx="270">
                  <c:v>105.31085027244065</c:v>
                </c:pt>
                <c:pt idx="271">
                  <c:v>106.19196384347455</c:v>
                </c:pt>
                <c:pt idx="272">
                  <c:v>107.06774682351917</c:v>
                </c:pt>
                <c:pt idx="273">
                  <c:v>107.93803249321601</c:v>
                </c:pt>
                <c:pt idx="274">
                  <c:v>108.80265796105682</c:v>
                </c:pt>
                <c:pt idx="275">
                  <c:v>109.66146454530747</c:v>
                </c:pt>
                <c:pt idx="276">
                  <c:v>110.51429810714394</c:v>
                </c:pt>
                <c:pt idx="277">
                  <c:v>111.36100934021661</c:v>
                </c:pt>
                <c:pt idx="278">
                  <c:v>112.20145402101986</c:v>
                </c:pt>
                <c:pt idx="279">
                  <c:v>113.03549322377025</c:v>
                </c:pt>
                <c:pt idx="280">
                  <c:v>113.86299350295481</c:v>
                </c:pt>
                <c:pt idx="281">
                  <c:v>114.68382704627641</c:v>
                </c:pt>
                <c:pt idx="282">
                  <c:v>115.49787180037454</c:v>
                </c:pt>
                <c:pt idx="283">
                  <c:v>116.30501157141917</c:v>
                </c:pt>
                <c:pt idx="284">
                  <c:v>117.10513610244914</c:v>
                </c:pt>
                <c:pt idx="285">
                  <c:v>117.89814112914397</c:v>
                </c:pt>
                <c:pt idx="286">
                  <c:v>118.68392841556918</c:v>
                </c:pt>
                <c:pt idx="287">
                  <c:v>119.46240577131387</c:v>
                </c:pt>
                <c:pt idx="288">
                  <c:v>120.23348705133863</c:v>
                </c:pt>
                <c:pt idx="289">
                  <c:v>120.99709213976887</c:v>
                </c:pt>
                <c:pt idx="290">
                  <c:v>121.7531469187975</c:v>
                </c:pt>
                <c:pt idx="291">
                  <c:v>122.50158322380052</c:v>
                </c:pt>
                <c:pt idx="292">
                  <c:v>123.24233878571626</c:v>
                </c:pt>
                <c:pt idx="293">
                  <c:v>123.9753571616916</c:v>
                </c:pt>
                <c:pt idx="294">
                  <c:v>124.70058765495646</c:v>
                </c:pt>
                <c:pt idx="295">
                  <c:v>125.41798522484753</c:v>
                </c:pt>
                <c:pt idx="296">
                  <c:v>126.12751038786602</c:v>
                </c:pt>
                <c:pt idx="297">
                  <c:v>126.8291291106182</c:v>
                </c:pt>
                <c:pt idx="298">
                  <c:v>127.52281269545327</c:v>
                </c:pt>
                <c:pt idx="299">
                  <c:v>128.20853765958009</c:v>
                </c:pt>
                <c:pt idx="300">
                  <c:v>128.88628560841073</c:v>
                </c:pt>
                <c:pt idx="301">
                  <c:v>129.55604310384658</c:v>
                </c:pt>
                <c:pt idx="302">
                  <c:v>130.21780152819008</c:v>
                </c:pt>
                <c:pt idx="303">
                  <c:v>130.87155694433329</c:v>
                </c:pt>
                <c:pt idx="304">
                  <c:v>131.51730995284191</c:v>
                </c:pt>
                <c:pt idx="305">
                  <c:v>132.15506554652171</c:v>
                </c:pt>
                <c:pt idx="306">
                  <c:v>132.78483296302267</c:v>
                </c:pt>
                <c:pt idx="307">
                  <c:v>133.40662553600441</c:v>
                </c:pt>
                <c:pt idx="308">
                  <c:v>134.02046054535552</c:v>
                </c:pt>
                <c:pt idx="309">
                  <c:v>134.62635906692876</c:v>
                </c:pt>
                <c:pt idx="310">
                  <c:v>135.22434582222334</c:v>
                </c:pt>
                <c:pt idx="311">
                  <c:v>135.81444902841665</c:v>
                </c:pt>
                <c:pt idx="312">
                  <c:v>136.39670024911769</c:v>
                </c:pt>
                <c:pt idx="313">
                  <c:v>136.97113424618701</c:v>
                </c:pt>
                <c:pt idx="314">
                  <c:v>137.53778883293995</c:v>
                </c:pt>
                <c:pt idx="315">
                  <c:v>138.09670472902309</c:v>
                </c:pt>
                <c:pt idx="316">
                  <c:v>138.64792541722832</c:v>
                </c:pt>
                <c:pt idx="317">
                  <c:v>139.19149700248391</c:v>
                </c:pt>
                <c:pt idx="318">
                  <c:v>139.72746807323767</c:v>
                </c:pt>
                <c:pt idx="319">
                  <c:v>140.25588956542478</c:v>
                </c:pt>
                <c:pt idx="320">
                  <c:v>140.77681462919094</c:v>
                </c:pt>
                <c:pt idx="321">
                  <c:v>141.29029849852014</c:v>
                </c:pt>
                <c:pt idx="322">
                  <c:v>141.79639836389723</c:v>
                </c:pt>
                <c:pt idx="323">
                  <c:v>142.29517324811601</c:v>
                </c:pt>
                <c:pt idx="324">
                  <c:v>142.78668388532674</c:v>
                </c:pt>
                <c:pt idx="325">
                  <c:v>143.27099260339915</c:v>
                </c:pt>
                <c:pt idx="326">
                  <c:v>143.74816320966289</c:v>
                </c:pt>
                <c:pt idx="327">
                  <c:v>144.21826088007137</c:v>
                </c:pt>
                <c:pt idx="328">
                  <c:v>144.68135205182233</c:v>
                </c:pt>
                <c:pt idx="329">
                  <c:v>145.13750431945556</c:v>
                </c:pt>
                <c:pt idx="330">
                  <c:v>145.58678633443645</c:v>
                </c:pt>
                <c:pt idx="331">
                  <c:v>146.02926770822333</c:v>
                </c:pt>
                <c:pt idx="332">
                  <c:v>146.46501891880703</c:v>
                </c:pt>
                <c:pt idx="333">
                  <c:v>146.89411122070152</c:v>
                </c:pt>
                <c:pt idx="334">
                  <c:v>147.31661655835691</c:v>
                </c:pt>
                <c:pt idx="335">
                  <c:v>147.73260748295814</c:v>
                </c:pt>
                <c:pt idx="336">
                  <c:v>148.14215707256645</c:v>
                </c:pt>
                <c:pt idx="337">
                  <c:v>148.54533885555432</c:v>
                </c:pt>
                <c:pt idx="338">
                  <c:v>148.94222673727998</c:v>
                </c:pt>
                <c:pt idx="339">
                  <c:v>149.33289492994172</c:v>
                </c:pt>
                <c:pt idx="340">
                  <c:v>149.71741788554954</c:v>
                </c:pt>
                <c:pt idx="341">
                  <c:v>150.09587023194715</c:v>
                </c:pt>
                <c:pt idx="342">
                  <c:v>150.09587023194715</c:v>
                </c:pt>
                <c:pt idx="343">
                  <c:v>150.09587023194715</c:v>
                </c:pt>
                <c:pt idx="344">
                  <c:v>150.09587023194715</c:v>
                </c:pt>
                <c:pt idx="345">
                  <c:v>150.09587023194715</c:v>
                </c:pt>
                <c:pt idx="346">
                  <c:v>150.09587023194715</c:v>
                </c:pt>
                <c:pt idx="347">
                  <c:v>150.09587023194715</c:v>
                </c:pt>
                <c:pt idx="348">
                  <c:v>150.09587023194715</c:v>
                </c:pt>
                <c:pt idx="349">
                  <c:v>150.09587023194715</c:v>
                </c:pt>
                <c:pt idx="350">
                  <c:v>150.09587023194715</c:v>
                </c:pt>
                <c:pt idx="351">
                  <c:v>150.09587023194715</c:v>
                </c:pt>
                <c:pt idx="352">
                  <c:v>150.09587023194715</c:v>
                </c:pt>
                <c:pt idx="353">
                  <c:v>150.09587023194715</c:v>
                </c:pt>
                <c:pt idx="354">
                  <c:v>150.09587023194715</c:v>
                </c:pt>
                <c:pt idx="355">
                  <c:v>150.09587023194715</c:v>
                </c:pt>
                <c:pt idx="356">
                  <c:v>150.09587023194715</c:v>
                </c:pt>
                <c:pt idx="357">
                  <c:v>150.09587023194715</c:v>
                </c:pt>
                <c:pt idx="358">
                  <c:v>150.09587023194715</c:v>
                </c:pt>
                <c:pt idx="359">
                  <c:v>150.09587023194715</c:v>
                </c:pt>
                <c:pt idx="360">
                  <c:v>150.09587023194715</c:v>
                </c:pt>
                <c:pt idx="361">
                  <c:v>150.09587023194715</c:v>
                </c:pt>
                <c:pt idx="362">
                  <c:v>150.09587023194715</c:v>
                </c:pt>
                <c:pt idx="363">
                  <c:v>150.09587023194715</c:v>
                </c:pt>
                <c:pt idx="364">
                  <c:v>150.09587023194715</c:v>
                </c:pt>
                <c:pt idx="365">
                  <c:v>150.09587023194715</c:v>
                </c:pt>
                <c:pt idx="366">
                  <c:v>150.09587023194715</c:v>
                </c:pt>
                <c:pt idx="367">
                  <c:v>150.09587023194715</c:v>
                </c:pt>
                <c:pt idx="368">
                  <c:v>150.09587023194715</c:v>
                </c:pt>
                <c:pt idx="369">
                  <c:v>150.09587023194715</c:v>
                </c:pt>
                <c:pt idx="370">
                  <c:v>150.09587023194715</c:v>
                </c:pt>
                <c:pt idx="371">
                  <c:v>150.09587023194715</c:v>
                </c:pt>
                <c:pt idx="372">
                  <c:v>150.09587023194715</c:v>
                </c:pt>
                <c:pt idx="373">
                  <c:v>150.09587023194715</c:v>
                </c:pt>
                <c:pt idx="374">
                  <c:v>150.09587023194715</c:v>
                </c:pt>
                <c:pt idx="375">
                  <c:v>150.09587023194715</c:v>
                </c:pt>
                <c:pt idx="376">
                  <c:v>150.09587023194715</c:v>
                </c:pt>
                <c:pt idx="377">
                  <c:v>150.09587023194715</c:v>
                </c:pt>
                <c:pt idx="378">
                  <c:v>150.09587023194715</c:v>
                </c:pt>
                <c:pt idx="379">
                  <c:v>150.09587023194715</c:v>
                </c:pt>
                <c:pt idx="380">
                  <c:v>150.09587023194715</c:v>
                </c:pt>
                <c:pt idx="381">
                  <c:v>150.09587023194715</c:v>
                </c:pt>
                <c:pt idx="382">
                  <c:v>150.09587023194715</c:v>
                </c:pt>
                <c:pt idx="383">
                  <c:v>150.09587023194715</c:v>
                </c:pt>
                <c:pt idx="384">
                  <c:v>150.09587023194715</c:v>
                </c:pt>
                <c:pt idx="385">
                  <c:v>150.09587023194715</c:v>
                </c:pt>
                <c:pt idx="386">
                  <c:v>150.09587023194715</c:v>
                </c:pt>
                <c:pt idx="387">
                  <c:v>150.09587023194715</c:v>
                </c:pt>
                <c:pt idx="388">
                  <c:v>150.09587023194715</c:v>
                </c:pt>
                <c:pt idx="389">
                  <c:v>150.09587023194715</c:v>
                </c:pt>
                <c:pt idx="390">
                  <c:v>150.09587023194715</c:v>
                </c:pt>
                <c:pt idx="391">
                  <c:v>150.09587023194715</c:v>
                </c:pt>
                <c:pt idx="392">
                  <c:v>150.09587023194715</c:v>
                </c:pt>
                <c:pt idx="393">
                  <c:v>150.09587023194715</c:v>
                </c:pt>
                <c:pt idx="394">
                  <c:v>150.09587023194715</c:v>
                </c:pt>
                <c:pt idx="395">
                  <c:v>150.09587023194715</c:v>
                </c:pt>
                <c:pt idx="396">
                  <c:v>150.09587023194715</c:v>
                </c:pt>
                <c:pt idx="397">
                  <c:v>150.09587023194715</c:v>
                </c:pt>
                <c:pt idx="398">
                  <c:v>150.09587023194715</c:v>
                </c:pt>
                <c:pt idx="399">
                  <c:v>150.09587023194715</c:v>
                </c:pt>
                <c:pt idx="400">
                  <c:v>150.09587023194715</c:v>
                </c:pt>
                <c:pt idx="401">
                  <c:v>150.09587023194715</c:v>
                </c:pt>
                <c:pt idx="402">
                  <c:v>150.09587023194715</c:v>
                </c:pt>
                <c:pt idx="403">
                  <c:v>150.09587023194715</c:v>
                </c:pt>
                <c:pt idx="404">
                  <c:v>150.09587023194715</c:v>
                </c:pt>
                <c:pt idx="405">
                  <c:v>150.09587023194715</c:v>
                </c:pt>
                <c:pt idx="406">
                  <c:v>150.09587023194715</c:v>
                </c:pt>
                <c:pt idx="407">
                  <c:v>150.09587023194715</c:v>
                </c:pt>
                <c:pt idx="408">
                  <c:v>150.09587023194715</c:v>
                </c:pt>
                <c:pt idx="409">
                  <c:v>150.09587023194715</c:v>
                </c:pt>
                <c:pt idx="410">
                  <c:v>150.09587023194715</c:v>
                </c:pt>
                <c:pt idx="411">
                  <c:v>150.09587023194715</c:v>
                </c:pt>
                <c:pt idx="412">
                  <c:v>150.09587023194715</c:v>
                </c:pt>
                <c:pt idx="413">
                  <c:v>150.09587023194715</c:v>
                </c:pt>
                <c:pt idx="414">
                  <c:v>150.09587023194715</c:v>
                </c:pt>
                <c:pt idx="415">
                  <c:v>150.09587023194715</c:v>
                </c:pt>
                <c:pt idx="416">
                  <c:v>150.09587023194715</c:v>
                </c:pt>
                <c:pt idx="417">
                  <c:v>150.09587023194715</c:v>
                </c:pt>
                <c:pt idx="418">
                  <c:v>150.09587023194715</c:v>
                </c:pt>
                <c:pt idx="419">
                  <c:v>150.09587023194715</c:v>
                </c:pt>
                <c:pt idx="420">
                  <c:v>150.09587023194715</c:v>
                </c:pt>
                <c:pt idx="421">
                  <c:v>150.09587023194715</c:v>
                </c:pt>
                <c:pt idx="422">
                  <c:v>150.09587023194715</c:v>
                </c:pt>
                <c:pt idx="423">
                  <c:v>150.09587023194715</c:v>
                </c:pt>
                <c:pt idx="424">
                  <c:v>150.09587023194715</c:v>
                </c:pt>
                <c:pt idx="425">
                  <c:v>150.09587023194715</c:v>
                </c:pt>
                <c:pt idx="426">
                  <c:v>150.09587023194715</c:v>
                </c:pt>
                <c:pt idx="427">
                  <c:v>150.09587023194715</c:v>
                </c:pt>
                <c:pt idx="428">
                  <c:v>150.09587023194715</c:v>
                </c:pt>
                <c:pt idx="429">
                  <c:v>150.09587023194715</c:v>
                </c:pt>
                <c:pt idx="430">
                  <c:v>150.09587023194715</c:v>
                </c:pt>
                <c:pt idx="431">
                  <c:v>150.09587023194715</c:v>
                </c:pt>
                <c:pt idx="432">
                  <c:v>150.09587023194715</c:v>
                </c:pt>
                <c:pt idx="433">
                  <c:v>150.09587023194715</c:v>
                </c:pt>
                <c:pt idx="434">
                  <c:v>150.09587023194715</c:v>
                </c:pt>
                <c:pt idx="435">
                  <c:v>150.09587023194715</c:v>
                </c:pt>
                <c:pt idx="436">
                  <c:v>150.09587023194715</c:v>
                </c:pt>
                <c:pt idx="437">
                  <c:v>150.09587023194715</c:v>
                </c:pt>
                <c:pt idx="438">
                  <c:v>150.09587023194715</c:v>
                </c:pt>
                <c:pt idx="439">
                  <c:v>150.09587023194715</c:v>
                </c:pt>
                <c:pt idx="440">
                  <c:v>150.09587023194715</c:v>
                </c:pt>
                <c:pt idx="441">
                  <c:v>150.09587023194715</c:v>
                </c:pt>
                <c:pt idx="442">
                  <c:v>150.09587023194715</c:v>
                </c:pt>
                <c:pt idx="443">
                  <c:v>150.09587023194715</c:v>
                </c:pt>
                <c:pt idx="444">
                  <c:v>150.09587023194715</c:v>
                </c:pt>
                <c:pt idx="445">
                  <c:v>150.09587023194715</c:v>
                </c:pt>
                <c:pt idx="446">
                  <c:v>150.09587023194715</c:v>
                </c:pt>
                <c:pt idx="447">
                  <c:v>150.09587023194715</c:v>
                </c:pt>
                <c:pt idx="448">
                  <c:v>150.09587023194715</c:v>
                </c:pt>
                <c:pt idx="449">
                  <c:v>150.09587023194715</c:v>
                </c:pt>
                <c:pt idx="450">
                  <c:v>150.09587023194715</c:v>
                </c:pt>
                <c:pt idx="451">
                  <c:v>150.09587023194715</c:v>
                </c:pt>
                <c:pt idx="452">
                  <c:v>150.09587023194715</c:v>
                </c:pt>
                <c:pt idx="453">
                  <c:v>150.09587023194715</c:v>
                </c:pt>
                <c:pt idx="454">
                  <c:v>150.09587023194715</c:v>
                </c:pt>
                <c:pt idx="455">
                  <c:v>150.09587023194715</c:v>
                </c:pt>
                <c:pt idx="456">
                  <c:v>150.09587023194715</c:v>
                </c:pt>
                <c:pt idx="457">
                  <c:v>150.09587023194715</c:v>
                </c:pt>
                <c:pt idx="458">
                  <c:v>150.09587023194715</c:v>
                </c:pt>
                <c:pt idx="459">
                  <c:v>150.09587023194715</c:v>
                </c:pt>
                <c:pt idx="460">
                  <c:v>150.09587023194715</c:v>
                </c:pt>
                <c:pt idx="461">
                  <c:v>150.09587023194715</c:v>
                </c:pt>
                <c:pt idx="462">
                  <c:v>150.09587023194715</c:v>
                </c:pt>
                <c:pt idx="463">
                  <c:v>150.09587023194715</c:v>
                </c:pt>
                <c:pt idx="464">
                  <c:v>150.09587023194715</c:v>
                </c:pt>
                <c:pt idx="465">
                  <c:v>150.09587023194715</c:v>
                </c:pt>
                <c:pt idx="466">
                  <c:v>150.09587023194715</c:v>
                </c:pt>
                <c:pt idx="467">
                  <c:v>150.09587023194715</c:v>
                </c:pt>
                <c:pt idx="468">
                  <c:v>150.09587023194715</c:v>
                </c:pt>
                <c:pt idx="469">
                  <c:v>150.09587023194715</c:v>
                </c:pt>
                <c:pt idx="470">
                  <c:v>150.09587023194715</c:v>
                </c:pt>
                <c:pt idx="471">
                  <c:v>150.09587023194715</c:v>
                </c:pt>
                <c:pt idx="472">
                  <c:v>150.09587023194715</c:v>
                </c:pt>
                <c:pt idx="473">
                  <c:v>150.09587023194715</c:v>
                </c:pt>
                <c:pt idx="474">
                  <c:v>150.09587023194715</c:v>
                </c:pt>
                <c:pt idx="475">
                  <c:v>150.09587023194715</c:v>
                </c:pt>
                <c:pt idx="476">
                  <c:v>150.09587023194715</c:v>
                </c:pt>
                <c:pt idx="477">
                  <c:v>150.09587023194715</c:v>
                </c:pt>
                <c:pt idx="478">
                  <c:v>150.09587023194715</c:v>
                </c:pt>
                <c:pt idx="479">
                  <c:v>150.09587023194715</c:v>
                </c:pt>
                <c:pt idx="480">
                  <c:v>150.09587023194715</c:v>
                </c:pt>
                <c:pt idx="481">
                  <c:v>150.09587023194715</c:v>
                </c:pt>
                <c:pt idx="482">
                  <c:v>150.09587023194715</c:v>
                </c:pt>
                <c:pt idx="483">
                  <c:v>150.09587023194715</c:v>
                </c:pt>
                <c:pt idx="484">
                  <c:v>150.09587023194715</c:v>
                </c:pt>
                <c:pt idx="485">
                  <c:v>150.09587023194715</c:v>
                </c:pt>
                <c:pt idx="486">
                  <c:v>150.09587023194715</c:v>
                </c:pt>
                <c:pt idx="487">
                  <c:v>150.09587023194715</c:v>
                </c:pt>
                <c:pt idx="488">
                  <c:v>150.09587023194715</c:v>
                </c:pt>
                <c:pt idx="489">
                  <c:v>150.09587023194715</c:v>
                </c:pt>
                <c:pt idx="490">
                  <c:v>150.09587023194715</c:v>
                </c:pt>
                <c:pt idx="491">
                  <c:v>150.09587023194715</c:v>
                </c:pt>
                <c:pt idx="492">
                  <c:v>150.09587023194715</c:v>
                </c:pt>
                <c:pt idx="493">
                  <c:v>150.09587023194715</c:v>
                </c:pt>
                <c:pt idx="494">
                  <c:v>150.09587023194715</c:v>
                </c:pt>
                <c:pt idx="495">
                  <c:v>150.09587023194715</c:v>
                </c:pt>
                <c:pt idx="496">
                  <c:v>150.09587023194715</c:v>
                </c:pt>
                <c:pt idx="497">
                  <c:v>150.09587023194715</c:v>
                </c:pt>
                <c:pt idx="498">
                  <c:v>150.09587023194715</c:v>
                </c:pt>
                <c:pt idx="499">
                  <c:v>150.09587023194715</c:v>
                </c:pt>
                <c:pt idx="500">
                  <c:v>150.09587023194715</c:v>
                </c:pt>
                <c:pt idx="501">
                  <c:v>150.09587023194715</c:v>
                </c:pt>
                <c:pt idx="502">
                  <c:v>150.09587023194715</c:v>
                </c:pt>
                <c:pt idx="503">
                  <c:v>150.09587023194715</c:v>
                </c:pt>
                <c:pt idx="504">
                  <c:v>150.09587023194715</c:v>
                </c:pt>
                <c:pt idx="505">
                  <c:v>150.09587023194715</c:v>
                </c:pt>
                <c:pt idx="506">
                  <c:v>150.09587023194715</c:v>
                </c:pt>
                <c:pt idx="507">
                  <c:v>150.09587023194715</c:v>
                </c:pt>
                <c:pt idx="508">
                  <c:v>150.09587023194715</c:v>
                </c:pt>
                <c:pt idx="509">
                  <c:v>150.09587023194715</c:v>
                </c:pt>
                <c:pt idx="510">
                  <c:v>150.09587023194715</c:v>
                </c:pt>
                <c:pt idx="511">
                  <c:v>150.09587023194715</c:v>
                </c:pt>
                <c:pt idx="512">
                  <c:v>150.09587023194715</c:v>
                </c:pt>
                <c:pt idx="513">
                  <c:v>150.09587023194715</c:v>
                </c:pt>
                <c:pt idx="514">
                  <c:v>150.09587023194715</c:v>
                </c:pt>
                <c:pt idx="515">
                  <c:v>150.09587023194715</c:v>
                </c:pt>
                <c:pt idx="516">
                  <c:v>150.09587023194715</c:v>
                </c:pt>
                <c:pt idx="517">
                  <c:v>150.09587023194715</c:v>
                </c:pt>
                <c:pt idx="518">
                  <c:v>150.09587023194715</c:v>
                </c:pt>
                <c:pt idx="519">
                  <c:v>150.09587023194715</c:v>
                </c:pt>
                <c:pt idx="520">
                  <c:v>150.09587023194715</c:v>
                </c:pt>
                <c:pt idx="521">
                  <c:v>150.09587023194715</c:v>
                </c:pt>
                <c:pt idx="522">
                  <c:v>150.09587023194715</c:v>
                </c:pt>
                <c:pt idx="523">
                  <c:v>150.09587023194715</c:v>
                </c:pt>
                <c:pt idx="524">
                  <c:v>150.09587023194715</c:v>
                </c:pt>
                <c:pt idx="525">
                  <c:v>150.09587023194715</c:v>
                </c:pt>
                <c:pt idx="526">
                  <c:v>150.09587023194715</c:v>
                </c:pt>
                <c:pt idx="527">
                  <c:v>150.09587023194715</c:v>
                </c:pt>
                <c:pt idx="528">
                  <c:v>150.09587023194715</c:v>
                </c:pt>
                <c:pt idx="529">
                  <c:v>150.09587023194715</c:v>
                </c:pt>
                <c:pt idx="530">
                  <c:v>150.09587023194715</c:v>
                </c:pt>
                <c:pt idx="531">
                  <c:v>150.09587023194715</c:v>
                </c:pt>
                <c:pt idx="532">
                  <c:v>150.09587023194715</c:v>
                </c:pt>
                <c:pt idx="533">
                  <c:v>150.09587023194715</c:v>
                </c:pt>
                <c:pt idx="534">
                  <c:v>150.09587023194715</c:v>
                </c:pt>
                <c:pt idx="535">
                  <c:v>150.09587023194715</c:v>
                </c:pt>
                <c:pt idx="536">
                  <c:v>150.09587023194715</c:v>
                </c:pt>
                <c:pt idx="537">
                  <c:v>150.09587023194715</c:v>
                </c:pt>
                <c:pt idx="538">
                  <c:v>150.09587023194715</c:v>
                </c:pt>
                <c:pt idx="539">
                  <c:v>150.09587023194715</c:v>
                </c:pt>
                <c:pt idx="540">
                  <c:v>150.09587023194715</c:v>
                </c:pt>
                <c:pt idx="541">
                  <c:v>150.09587023194715</c:v>
                </c:pt>
                <c:pt idx="542">
                  <c:v>150.09587023194715</c:v>
                </c:pt>
                <c:pt idx="543">
                  <c:v>150.09587023194715</c:v>
                </c:pt>
                <c:pt idx="544">
                  <c:v>150.09587023194715</c:v>
                </c:pt>
                <c:pt idx="545">
                  <c:v>150.09587023194715</c:v>
                </c:pt>
                <c:pt idx="546">
                  <c:v>150.09587023194715</c:v>
                </c:pt>
                <c:pt idx="547">
                  <c:v>150.09587023194715</c:v>
                </c:pt>
                <c:pt idx="548">
                  <c:v>150.09587023194715</c:v>
                </c:pt>
                <c:pt idx="549">
                  <c:v>150.09587023194715</c:v>
                </c:pt>
                <c:pt idx="550">
                  <c:v>150.09587023194715</c:v>
                </c:pt>
                <c:pt idx="551">
                  <c:v>150.09587023194715</c:v>
                </c:pt>
                <c:pt idx="552">
                  <c:v>150.09587023194715</c:v>
                </c:pt>
                <c:pt idx="553">
                  <c:v>150.09587023194715</c:v>
                </c:pt>
                <c:pt idx="554">
                  <c:v>150.09587023194715</c:v>
                </c:pt>
                <c:pt idx="555">
                  <c:v>150.09587023194715</c:v>
                </c:pt>
                <c:pt idx="556">
                  <c:v>150.09587023194715</c:v>
                </c:pt>
                <c:pt idx="557">
                  <c:v>150.09587023194715</c:v>
                </c:pt>
                <c:pt idx="558">
                  <c:v>150.09587023194715</c:v>
                </c:pt>
                <c:pt idx="559">
                  <c:v>150.09587023194715</c:v>
                </c:pt>
                <c:pt idx="560">
                  <c:v>150.09587023194715</c:v>
                </c:pt>
                <c:pt idx="561">
                  <c:v>150.09587023194715</c:v>
                </c:pt>
                <c:pt idx="562">
                  <c:v>150.09587023194715</c:v>
                </c:pt>
                <c:pt idx="563">
                  <c:v>150.09587023194715</c:v>
                </c:pt>
                <c:pt idx="564">
                  <c:v>150.09587023194715</c:v>
                </c:pt>
                <c:pt idx="565">
                  <c:v>150.09587023194715</c:v>
                </c:pt>
                <c:pt idx="566">
                  <c:v>150.09587023194715</c:v>
                </c:pt>
                <c:pt idx="567">
                  <c:v>150.09587023194715</c:v>
                </c:pt>
                <c:pt idx="568">
                  <c:v>150.09587023194715</c:v>
                </c:pt>
                <c:pt idx="569">
                  <c:v>150.09587023194715</c:v>
                </c:pt>
                <c:pt idx="570">
                  <c:v>150.09587023194715</c:v>
                </c:pt>
                <c:pt idx="571">
                  <c:v>150.09587023194715</c:v>
                </c:pt>
                <c:pt idx="572">
                  <c:v>150.09587023194715</c:v>
                </c:pt>
                <c:pt idx="573">
                  <c:v>150.09587023194715</c:v>
                </c:pt>
                <c:pt idx="574">
                  <c:v>150.09587023194715</c:v>
                </c:pt>
                <c:pt idx="575">
                  <c:v>150.09587023194715</c:v>
                </c:pt>
                <c:pt idx="576">
                  <c:v>150.09587023194715</c:v>
                </c:pt>
                <c:pt idx="577">
                  <c:v>150.09587023194715</c:v>
                </c:pt>
                <c:pt idx="578">
                  <c:v>150.09587023194715</c:v>
                </c:pt>
                <c:pt idx="579">
                  <c:v>150.09587023194715</c:v>
                </c:pt>
                <c:pt idx="580">
                  <c:v>150.09587023194715</c:v>
                </c:pt>
                <c:pt idx="581">
                  <c:v>150.09587023194715</c:v>
                </c:pt>
                <c:pt idx="582">
                  <c:v>150.09587023194715</c:v>
                </c:pt>
                <c:pt idx="583">
                  <c:v>150.09587023194715</c:v>
                </c:pt>
                <c:pt idx="584">
                  <c:v>150.09587023194715</c:v>
                </c:pt>
                <c:pt idx="585">
                  <c:v>150.09587023194715</c:v>
                </c:pt>
                <c:pt idx="586">
                  <c:v>150.09587023194715</c:v>
                </c:pt>
                <c:pt idx="587">
                  <c:v>150.09587023194715</c:v>
                </c:pt>
                <c:pt idx="588">
                  <c:v>150.09587023194715</c:v>
                </c:pt>
                <c:pt idx="589">
                  <c:v>150.09587023194715</c:v>
                </c:pt>
                <c:pt idx="590">
                  <c:v>150.09587023194715</c:v>
                </c:pt>
                <c:pt idx="591">
                  <c:v>150.09587023194715</c:v>
                </c:pt>
                <c:pt idx="592">
                  <c:v>150.09587023194715</c:v>
                </c:pt>
                <c:pt idx="593">
                  <c:v>150.09587023194715</c:v>
                </c:pt>
                <c:pt idx="594">
                  <c:v>150.09587023194715</c:v>
                </c:pt>
                <c:pt idx="595">
                  <c:v>150.09587023194715</c:v>
                </c:pt>
                <c:pt idx="596">
                  <c:v>150.09587023194715</c:v>
                </c:pt>
                <c:pt idx="597">
                  <c:v>150.09587023194715</c:v>
                </c:pt>
                <c:pt idx="598">
                  <c:v>150.09587023194715</c:v>
                </c:pt>
                <c:pt idx="599">
                  <c:v>150.09587023194715</c:v>
                </c:pt>
                <c:pt idx="600">
                  <c:v>150.09587023194715</c:v>
                </c:pt>
                <c:pt idx="601">
                  <c:v>150.09587023194715</c:v>
                </c:pt>
                <c:pt idx="602">
                  <c:v>150.09587023194715</c:v>
                </c:pt>
                <c:pt idx="603">
                  <c:v>150.09587023194715</c:v>
                </c:pt>
                <c:pt idx="604">
                  <c:v>150.09587023194715</c:v>
                </c:pt>
                <c:pt idx="605">
                  <c:v>150.09587023194715</c:v>
                </c:pt>
                <c:pt idx="606">
                  <c:v>150.09587023194715</c:v>
                </c:pt>
                <c:pt idx="607">
                  <c:v>150.09587023194715</c:v>
                </c:pt>
                <c:pt idx="608">
                  <c:v>150.09587023194715</c:v>
                </c:pt>
                <c:pt idx="609">
                  <c:v>150.09587023194715</c:v>
                </c:pt>
                <c:pt idx="610">
                  <c:v>150.09587023194715</c:v>
                </c:pt>
                <c:pt idx="611">
                  <c:v>150.09587023194715</c:v>
                </c:pt>
                <c:pt idx="612">
                  <c:v>150.09587023194715</c:v>
                </c:pt>
                <c:pt idx="613">
                  <c:v>150.09587023194715</c:v>
                </c:pt>
                <c:pt idx="614">
                  <c:v>150.09587023194715</c:v>
                </c:pt>
                <c:pt idx="615">
                  <c:v>150.09587023194715</c:v>
                </c:pt>
                <c:pt idx="616">
                  <c:v>150.09587023194715</c:v>
                </c:pt>
                <c:pt idx="617">
                  <c:v>150.09587023194715</c:v>
                </c:pt>
                <c:pt idx="618">
                  <c:v>150.09587023194715</c:v>
                </c:pt>
                <c:pt idx="619">
                  <c:v>150.09587023194715</c:v>
                </c:pt>
                <c:pt idx="620">
                  <c:v>150.09587023194715</c:v>
                </c:pt>
                <c:pt idx="621">
                  <c:v>150.09587023194715</c:v>
                </c:pt>
                <c:pt idx="622">
                  <c:v>150.09587023194715</c:v>
                </c:pt>
                <c:pt idx="623">
                  <c:v>150.09587023194715</c:v>
                </c:pt>
                <c:pt idx="624">
                  <c:v>150.09587023194715</c:v>
                </c:pt>
                <c:pt idx="625">
                  <c:v>150.09587023194715</c:v>
                </c:pt>
                <c:pt idx="626">
                  <c:v>150.09587023194715</c:v>
                </c:pt>
                <c:pt idx="627">
                  <c:v>150.09587023194715</c:v>
                </c:pt>
                <c:pt idx="628">
                  <c:v>150.09587023194715</c:v>
                </c:pt>
                <c:pt idx="629">
                  <c:v>150.09587023194715</c:v>
                </c:pt>
                <c:pt idx="630">
                  <c:v>150.09587023194715</c:v>
                </c:pt>
                <c:pt idx="631">
                  <c:v>150.09587023194715</c:v>
                </c:pt>
                <c:pt idx="632">
                  <c:v>150.09587023194715</c:v>
                </c:pt>
                <c:pt idx="633">
                  <c:v>150.09587023194715</c:v>
                </c:pt>
                <c:pt idx="634">
                  <c:v>150.09587023194715</c:v>
                </c:pt>
                <c:pt idx="635">
                  <c:v>150.09587023194715</c:v>
                </c:pt>
                <c:pt idx="636">
                  <c:v>150.09587023194715</c:v>
                </c:pt>
                <c:pt idx="637">
                  <c:v>150.09587023194715</c:v>
                </c:pt>
                <c:pt idx="638">
                  <c:v>150.09587023194715</c:v>
                </c:pt>
                <c:pt idx="639">
                  <c:v>150.09587023194715</c:v>
                </c:pt>
                <c:pt idx="640">
                  <c:v>150.09587023194715</c:v>
                </c:pt>
                <c:pt idx="641">
                  <c:v>150.09587023194715</c:v>
                </c:pt>
                <c:pt idx="642">
                  <c:v>150.09587023194715</c:v>
                </c:pt>
                <c:pt idx="643">
                  <c:v>150.09587023194715</c:v>
                </c:pt>
                <c:pt idx="644">
                  <c:v>150.09587023194715</c:v>
                </c:pt>
                <c:pt idx="645">
                  <c:v>150.09587023194715</c:v>
                </c:pt>
                <c:pt idx="646">
                  <c:v>150.09587023194715</c:v>
                </c:pt>
                <c:pt idx="647">
                  <c:v>150.09587023194715</c:v>
                </c:pt>
                <c:pt idx="648">
                  <c:v>150.09587023194715</c:v>
                </c:pt>
                <c:pt idx="649">
                  <c:v>150.09587023194715</c:v>
                </c:pt>
                <c:pt idx="650">
                  <c:v>150.09587023194715</c:v>
                </c:pt>
                <c:pt idx="651">
                  <c:v>150.09587023194715</c:v>
                </c:pt>
                <c:pt idx="652">
                  <c:v>150.09587023194715</c:v>
                </c:pt>
                <c:pt idx="653">
                  <c:v>150.09587023194715</c:v>
                </c:pt>
                <c:pt idx="654">
                  <c:v>150.09587023194715</c:v>
                </c:pt>
                <c:pt idx="655">
                  <c:v>150.09587023194715</c:v>
                </c:pt>
                <c:pt idx="656">
                  <c:v>150.09587023194715</c:v>
                </c:pt>
                <c:pt idx="657">
                  <c:v>150.09587023194715</c:v>
                </c:pt>
                <c:pt idx="658">
                  <c:v>150.09587023194715</c:v>
                </c:pt>
                <c:pt idx="659">
                  <c:v>150.09587023194715</c:v>
                </c:pt>
                <c:pt idx="660">
                  <c:v>150.09587023194715</c:v>
                </c:pt>
                <c:pt idx="661">
                  <c:v>150.09587023194715</c:v>
                </c:pt>
                <c:pt idx="662">
                  <c:v>150.09587023194715</c:v>
                </c:pt>
                <c:pt idx="663">
                  <c:v>150.09587023194715</c:v>
                </c:pt>
                <c:pt idx="664">
                  <c:v>150.09587023194715</c:v>
                </c:pt>
                <c:pt idx="665">
                  <c:v>150.09587023194715</c:v>
                </c:pt>
                <c:pt idx="666">
                  <c:v>150.09587023194715</c:v>
                </c:pt>
                <c:pt idx="667">
                  <c:v>150.09587023194715</c:v>
                </c:pt>
                <c:pt idx="668">
                  <c:v>150.09587023194715</c:v>
                </c:pt>
                <c:pt idx="669">
                  <c:v>150.09587023194715</c:v>
                </c:pt>
                <c:pt idx="670">
                  <c:v>150.09587023194715</c:v>
                </c:pt>
                <c:pt idx="671">
                  <c:v>150.09587023194715</c:v>
                </c:pt>
                <c:pt idx="672">
                  <c:v>150.09587023194715</c:v>
                </c:pt>
                <c:pt idx="673">
                  <c:v>150.09587023194715</c:v>
                </c:pt>
                <c:pt idx="674">
                  <c:v>150.09587023194715</c:v>
                </c:pt>
                <c:pt idx="675">
                  <c:v>150.09587023194715</c:v>
                </c:pt>
                <c:pt idx="676">
                  <c:v>150.09587023194715</c:v>
                </c:pt>
                <c:pt idx="677">
                  <c:v>150.09587023194715</c:v>
                </c:pt>
                <c:pt idx="678">
                  <c:v>150.09587023194715</c:v>
                </c:pt>
                <c:pt idx="679">
                  <c:v>150.09587023194715</c:v>
                </c:pt>
                <c:pt idx="680">
                  <c:v>150.09587023194715</c:v>
                </c:pt>
                <c:pt idx="681">
                  <c:v>150.09587023194715</c:v>
                </c:pt>
                <c:pt idx="682">
                  <c:v>150.09587023194715</c:v>
                </c:pt>
                <c:pt idx="683">
                  <c:v>150.09587023194715</c:v>
                </c:pt>
                <c:pt idx="684">
                  <c:v>150.09587023194715</c:v>
                </c:pt>
                <c:pt idx="685">
                  <c:v>150.09587023194715</c:v>
                </c:pt>
                <c:pt idx="686">
                  <c:v>150.09587023194715</c:v>
                </c:pt>
                <c:pt idx="687">
                  <c:v>150.09587023194715</c:v>
                </c:pt>
                <c:pt idx="688">
                  <c:v>150.09587023194715</c:v>
                </c:pt>
                <c:pt idx="689">
                  <c:v>150.09587023194715</c:v>
                </c:pt>
                <c:pt idx="690">
                  <c:v>150.09587023194715</c:v>
                </c:pt>
                <c:pt idx="691">
                  <c:v>150.09587023194715</c:v>
                </c:pt>
                <c:pt idx="692">
                  <c:v>150.09587023194715</c:v>
                </c:pt>
                <c:pt idx="693">
                  <c:v>150.09587023194715</c:v>
                </c:pt>
                <c:pt idx="694">
                  <c:v>150.09587023194715</c:v>
                </c:pt>
                <c:pt idx="695">
                  <c:v>150.09587023194715</c:v>
                </c:pt>
                <c:pt idx="696">
                  <c:v>150.09587023194715</c:v>
                </c:pt>
                <c:pt idx="697">
                  <c:v>150.09587023194715</c:v>
                </c:pt>
                <c:pt idx="698">
                  <c:v>150.09587023194715</c:v>
                </c:pt>
                <c:pt idx="699">
                  <c:v>150.09587023194715</c:v>
                </c:pt>
                <c:pt idx="700">
                  <c:v>150.09587023194715</c:v>
                </c:pt>
                <c:pt idx="701">
                  <c:v>150.09587023194715</c:v>
                </c:pt>
                <c:pt idx="702">
                  <c:v>150.09587023194715</c:v>
                </c:pt>
                <c:pt idx="703">
                  <c:v>150.09587023194715</c:v>
                </c:pt>
                <c:pt idx="704">
                  <c:v>150.09587023194715</c:v>
                </c:pt>
                <c:pt idx="705">
                  <c:v>150.09587023194715</c:v>
                </c:pt>
                <c:pt idx="706">
                  <c:v>150.09587023194715</c:v>
                </c:pt>
                <c:pt idx="707">
                  <c:v>150.09587023194715</c:v>
                </c:pt>
                <c:pt idx="708">
                  <c:v>150.09587023194715</c:v>
                </c:pt>
                <c:pt idx="709">
                  <c:v>150.09587023194715</c:v>
                </c:pt>
                <c:pt idx="710">
                  <c:v>150.09587023194715</c:v>
                </c:pt>
                <c:pt idx="711">
                  <c:v>150.09587023194715</c:v>
                </c:pt>
                <c:pt idx="712">
                  <c:v>150.09587023194715</c:v>
                </c:pt>
                <c:pt idx="713">
                  <c:v>150.09587023194715</c:v>
                </c:pt>
                <c:pt idx="714">
                  <c:v>150.09587023194715</c:v>
                </c:pt>
                <c:pt idx="715">
                  <c:v>150.09587023194715</c:v>
                </c:pt>
                <c:pt idx="716">
                  <c:v>150.09587023194715</c:v>
                </c:pt>
                <c:pt idx="717">
                  <c:v>150.09587023194715</c:v>
                </c:pt>
                <c:pt idx="718">
                  <c:v>150.09587023194715</c:v>
                </c:pt>
                <c:pt idx="719">
                  <c:v>150.09587023194715</c:v>
                </c:pt>
                <c:pt idx="720">
                  <c:v>150.09587023194715</c:v>
                </c:pt>
                <c:pt idx="721">
                  <c:v>150.09587023194715</c:v>
                </c:pt>
                <c:pt idx="722">
                  <c:v>150.09587023194715</c:v>
                </c:pt>
                <c:pt idx="723">
                  <c:v>150.09587023194715</c:v>
                </c:pt>
                <c:pt idx="724">
                  <c:v>150.09587023194715</c:v>
                </c:pt>
                <c:pt idx="725">
                  <c:v>150.09587023194715</c:v>
                </c:pt>
                <c:pt idx="726">
                  <c:v>150.09587023194715</c:v>
                </c:pt>
                <c:pt idx="727">
                  <c:v>150.09587023194715</c:v>
                </c:pt>
                <c:pt idx="728">
                  <c:v>150.09587023194715</c:v>
                </c:pt>
                <c:pt idx="729">
                  <c:v>150.09587023194715</c:v>
                </c:pt>
                <c:pt idx="730">
                  <c:v>150.09587023194715</c:v>
                </c:pt>
                <c:pt idx="731">
                  <c:v>150.09587023194715</c:v>
                </c:pt>
                <c:pt idx="732">
                  <c:v>150.09587023194715</c:v>
                </c:pt>
                <c:pt idx="733">
                  <c:v>150.09587023194715</c:v>
                </c:pt>
                <c:pt idx="734">
                  <c:v>150.09587023194715</c:v>
                </c:pt>
                <c:pt idx="735">
                  <c:v>150.09587023194715</c:v>
                </c:pt>
                <c:pt idx="736">
                  <c:v>150.09587023194715</c:v>
                </c:pt>
                <c:pt idx="737">
                  <c:v>150.09587023194715</c:v>
                </c:pt>
                <c:pt idx="738">
                  <c:v>150.09587023194715</c:v>
                </c:pt>
                <c:pt idx="739">
                  <c:v>150.09587023194715</c:v>
                </c:pt>
                <c:pt idx="740">
                  <c:v>150.09587023194715</c:v>
                </c:pt>
                <c:pt idx="741">
                  <c:v>150.09587023194715</c:v>
                </c:pt>
                <c:pt idx="742">
                  <c:v>150.09587023194715</c:v>
                </c:pt>
                <c:pt idx="743">
                  <c:v>150.09587023194715</c:v>
                </c:pt>
                <c:pt idx="744">
                  <c:v>150.09587023194715</c:v>
                </c:pt>
                <c:pt idx="745">
                  <c:v>150.09587023194715</c:v>
                </c:pt>
                <c:pt idx="746">
                  <c:v>150.09587023194715</c:v>
                </c:pt>
                <c:pt idx="747">
                  <c:v>150.09587023194715</c:v>
                </c:pt>
                <c:pt idx="748">
                  <c:v>150.09587023194715</c:v>
                </c:pt>
                <c:pt idx="749">
                  <c:v>150.09587023194715</c:v>
                </c:pt>
                <c:pt idx="750">
                  <c:v>150.09587023194715</c:v>
                </c:pt>
                <c:pt idx="751">
                  <c:v>150.09587023194715</c:v>
                </c:pt>
                <c:pt idx="752">
                  <c:v>150.09587023194715</c:v>
                </c:pt>
                <c:pt idx="753">
                  <c:v>150.09587023194715</c:v>
                </c:pt>
                <c:pt idx="754">
                  <c:v>150.09587023194715</c:v>
                </c:pt>
                <c:pt idx="755">
                  <c:v>150.09587023194715</c:v>
                </c:pt>
                <c:pt idx="756">
                  <c:v>150.09587023194715</c:v>
                </c:pt>
                <c:pt idx="757">
                  <c:v>150.09587023194715</c:v>
                </c:pt>
                <c:pt idx="758">
                  <c:v>150.09587023194715</c:v>
                </c:pt>
                <c:pt idx="759">
                  <c:v>150.09587023194715</c:v>
                </c:pt>
                <c:pt idx="760">
                  <c:v>150.09587023194715</c:v>
                </c:pt>
                <c:pt idx="761">
                  <c:v>150.09587023194715</c:v>
                </c:pt>
                <c:pt idx="762">
                  <c:v>150.09587023194715</c:v>
                </c:pt>
                <c:pt idx="763">
                  <c:v>150.09587023194715</c:v>
                </c:pt>
                <c:pt idx="764">
                  <c:v>150.09587023194715</c:v>
                </c:pt>
                <c:pt idx="765">
                  <c:v>150.09587023194715</c:v>
                </c:pt>
                <c:pt idx="766">
                  <c:v>150.09587023194715</c:v>
                </c:pt>
                <c:pt idx="767">
                  <c:v>150.09587023194715</c:v>
                </c:pt>
                <c:pt idx="768">
                  <c:v>150.09587023194715</c:v>
                </c:pt>
                <c:pt idx="769">
                  <c:v>150.09587023194715</c:v>
                </c:pt>
                <c:pt idx="770">
                  <c:v>150.09587023194715</c:v>
                </c:pt>
                <c:pt idx="771">
                  <c:v>150.09587023194715</c:v>
                </c:pt>
                <c:pt idx="772">
                  <c:v>150.09587023194715</c:v>
                </c:pt>
                <c:pt idx="773">
                  <c:v>150.09587023194715</c:v>
                </c:pt>
                <c:pt idx="774">
                  <c:v>150.09587023194715</c:v>
                </c:pt>
                <c:pt idx="775">
                  <c:v>150.09587023194715</c:v>
                </c:pt>
                <c:pt idx="776">
                  <c:v>150.09587023194715</c:v>
                </c:pt>
                <c:pt idx="777">
                  <c:v>150.09587023194715</c:v>
                </c:pt>
                <c:pt idx="778">
                  <c:v>150.09587023194715</c:v>
                </c:pt>
                <c:pt idx="779">
                  <c:v>150.09587023194715</c:v>
                </c:pt>
                <c:pt idx="780">
                  <c:v>150.09587023194715</c:v>
                </c:pt>
                <c:pt idx="781">
                  <c:v>150.09587023194715</c:v>
                </c:pt>
                <c:pt idx="782">
                  <c:v>150.09587023194715</c:v>
                </c:pt>
                <c:pt idx="783">
                  <c:v>150.09587023194715</c:v>
                </c:pt>
                <c:pt idx="784">
                  <c:v>150.09587023194715</c:v>
                </c:pt>
                <c:pt idx="785">
                  <c:v>150.09587023194715</c:v>
                </c:pt>
                <c:pt idx="786">
                  <c:v>150.09587023194715</c:v>
                </c:pt>
                <c:pt idx="787">
                  <c:v>150.09587023194715</c:v>
                </c:pt>
                <c:pt idx="788">
                  <c:v>150.09587023194715</c:v>
                </c:pt>
                <c:pt idx="789">
                  <c:v>150.09587023194715</c:v>
                </c:pt>
                <c:pt idx="790">
                  <c:v>150.09587023194715</c:v>
                </c:pt>
                <c:pt idx="791">
                  <c:v>150.09587023194715</c:v>
                </c:pt>
                <c:pt idx="792">
                  <c:v>150.09587023194715</c:v>
                </c:pt>
                <c:pt idx="793">
                  <c:v>150.09587023194715</c:v>
                </c:pt>
                <c:pt idx="794">
                  <c:v>150.09587023194715</c:v>
                </c:pt>
                <c:pt idx="795">
                  <c:v>150.09587023194715</c:v>
                </c:pt>
                <c:pt idx="796">
                  <c:v>150.09587023194715</c:v>
                </c:pt>
                <c:pt idx="797">
                  <c:v>150.09587023194715</c:v>
                </c:pt>
                <c:pt idx="798">
                  <c:v>150.09587023194715</c:v>
                </c:pt>
                <c:pt idx="799">
                  <c:v>150.09587023194715</c:v>
                </c:pt>
                <c:pt idx="800">
                  <c:v>150.09587023194715</c:v>
                </c:pt>
                <c:pt idx="801">
                  <c:v>150.09587023194715</c:v>
                </c:pt>
                <c:pt idx="802">
                  <c:v>150.09587023194715</c:v>
                </c:pt>
                <c:pt idx="803">
                  <c:v>150.09587023194715</c:v>
                </c:pt>
                <c:pt idx="804">
                  <c:v>150.09587023194715</c:v>
                </c:pt>
                <c:pt idx="805">
                  <c:v>150.09587023194715</c:v>
                </c:pt>
                <c:pt idx="806">
                  <c:v>150.09587023194715</c:v>
                </c:pt>
                <c:pt idx="807">
                  <c:v>150.09587023194715</c:v>
                </c:pt>
                <c:pt idx="808">
                  <c:v>150.09587023194715</c:v>
                </c:pt>
                <c:pt idx="809">
                  <c:v>150.09587023194715</c:v>
                </c:pt>
                <c:pt idx="810">
                  <c:v>150.09587023194715</c:v>
                </c:pt>
                <c:pt idx="811">
                  <c:v>150.09587023194715</c:v>
                </c:pt>
                <c:pt idx="812">
                  <c:v>150.09587023194715</c:v>
                </c:pt>
                <c:pt idx="813">
                  <c:v>150.09587023194715</c:v>
                </c:pt>
                <c:pt idx="814">
                  <c:v>150.09587023194715</c:v>
                </c:pt>
                <c:pt idx="815">
                  <c:v>150.09587023194715</c:v>
                </c:pt>
                <c:pt idx="816">
                  <c:v>150.09587023194715</c:v>
                </c:pt>
                <c:pt idx="817">
                  <c:v>150.09587023194715</c:v>
                </c:pt>
                <c:pt idx="818">
                  <c:v>150.09587023194715</c:v>
                </c:pt>
                <c:pt idx="819">
                  <c:v>150.09587023194715</c:v>
                </c:pt>
                <c:pt idx="820">
                  <c:v>150.09587023194715</c:v>
                </c:pt>
                <c:pt idx="821">
                  <c:v>150.09587023194715</c:v>
                </c:pt>
                <c:pt idx="822">
                  <c:v>150.09587023194715</c:v>
                </c:pt>
                <c:pt idx="823">
                  <c:v>150.09587023194715</c:v>
                </c:pt>
                <c:pt idx="824">
                  <c:v>150.09587023194715</c:v>
                </c:pt>
                <c:pt idx="825">
                  <c:v>150.09587023194715</c:v>
                </c:pt>
                <c:pt idx="826">
                  <c:v>150.09587023194715</c:v>
                </c:pt>
                <c:pt idx="827">
                  <c:v>150.09587023194715</c:v>
                </c:pt>
                <c:pt idx="828">
                  <c:v>150.09587023194715</c:v>
                </c:pt>
                <c:pt idx="829">
                  <c:v>150.09587023194715</c:v>
                </c:pt>
                <c:pt idx="830">
                  <c:v>150.09587023194715</c:v>
                </c:pt>
                <c:pt idx="831">
                  <c:v>150.09587023194715</c:v>
                </c:pt>
                <c:pt idx="832">
                  <c:v>150.09587023194715</c:v>
                </c:pt>
                <c:pt idx="833">
                  <c:v>150.09587023194715</c:v>
                </c:pt>
                <c:pt idx="834">
                  <c:v>150.09587023194715</c:v>
                </c:pt>
                <c:pt idx="835">
                  <c:v>150.09587023194715</c:v>
                </c:pt>
                <c:pt idx="836">
                  <c:v>150.09587023194715</c:v>
                </c:pt>
                <c:pt idx="837">
                  <c:v>150.09587023194715</c:v>
                </c:pt>
                <c:pt idx="838">
                  <c:v>150.09587023194715</c:v>
                </c:pt>
                <c:pt idx="839">
                  <c:v>150.09587023194715</c:v>
                </c:pt>
                <c:pt idx="840">
                  <c:v>150.09587023194715</c:v>
                </c:pt>
                <c:pt idx="841">
                  <c:v>150.09587023194715</c:v>
                </c:pt>
                <c:pt idx="842">
                  <c:v>150.09587023194715</c:v>
                </c:pt>
                <c:pt idx="843">
                  <c:v>150.09587023194715</c:v>
                </c:pt>
                <c:pt idx="844">
                  <c:v>150.09587023194715</c:v>
                </c:pt>
                <c:pt idx="845">
                  <c:v>150.09587023194715</c:v>
                </c:pt>
                <c:pt idx="846">
                  <c:v>150.09587023194715</c:v>
                </c:pt>
                <c:pt idx="847">
                  <c:v>150.09587023194715</c:v>
                </c:pt>
                <c:pt idx="848">
                  <c:v>150.09587023194715</c:v>
                </c:pt>
                <c:pt idx="849">
                  <c:v>150.09587023194715</c:v>
                </c:pt>
                <c:pt idx="850">
                  <c:v>150.09587023194715</c:v>
                </c:pt>
                <c:pt idx="851">
                  <c:v>150.09587023194715</c:v>
                </c:pt>
                <c:pt idx="852">
                  <c:v>150.09587023194715</c:v>
                </c:pt>
                <c:pt idx="853">
                  <c:v>150.09587023194715</c:v>
                </c:pt>
                <c:pt idx="854">
                  <c:v>150.09587023194715</c:v>
                </c:pt>
                <c:pt idx="855">
                  <c:v>150.09587023194715</c:v>
                </c:pt>
                <c:pt idx="856">
                  <c:v>150.09587023194715</c:v>
                </c:pt>
                <c:pt idx="857">
                  <c:v>150.09587023194715</c:v>
                </c:pt>
                <c:pt idx="858">
                  <c:v>150.09587023194715</c:v>
                </c:pt>
                <c:pt idx="859">
                  <c:v>150.09587023194715</c:v>
                </c:pt>
                <c:pt idx="860">
                  <c:v>150.09587023194715</c:v>
                </c:pt>
                <c:pt idx="861">
                  <c:v>150.09587023194715</c:v>
                </c:pt>
                <c:pt idx="862">
                  <c:v>150.09587023194715</c:v>
                </c:pt>
                <c:pt idx="863">
                  <c:v>150.09587023194715</c:v>
                </c:pt>
                <c:pt idx="864">
                  <c:v>150.09587023194715</c:v>
                </c:pt>
                <c:pt idx="865">
                  <c:v>150.09587023194715</c:v>
                </c:pt>
                <c:pt idx="866">
                  <c:v>150.09587023194715</c:v>
                </c:pt>
                <c:pt idx="867">
                  <c:v>150.09587023194715</c:v>
                </c:pt>
                <c:pt idx="868">
                  <c:v>150.09587023194715</c:v>
                </c:pt>
                <c:pt idx="869">
                  <c:v>150.09587023194715</c:v>
                </c:pt>
                <c:pt idx="870">
                  <c:v>150.09587023194715</c:v>
                </c:pt>
                <c:pt idx="871">
                  <c:v>150.09587023194715</c:v>
                </c:pt>
                <c:pt idx="872">
                  <c:v>150.09587023194715</c:v>
                </c:pt>
                <c:pt idx="873">
                  <c:v>150.09587023194715</c:v>
                </c:pt>
                <c:pt idx="874">
                  <c:v>150.09587023194715</c:v>
                </c:pt>
                <c:pt idx="875">
                  <c:v>150.09587023194715</c:v>
                </c:pt>
                <c:pt idx="876">
                  <c:v>150.09587023194715</c:v>
                </c:pt>
                <c:pt idx="877">
                  <c:v>150.09587023194715</c:v>
                </c:pt>
                <c:pt idx="878">
                  <c:v>150.09587023194715</c:v>
                </c:pt>
                <c:pt idx="879">
                  <c:v>150.09587023194715</c:v>
                </c:pt>
                <c:pt idx="880">
                  <c:v>150.09587023194715</c:v>
                </c:pt>
                <c:pt idx="881">
                  <c:v>150.09587023194715</c:v>
                </c:pt>
                <c:pt idx="882">
                  <c:v>150.09587023194715</c:v>
                </c:pt>
                <c:pt idx="883">
                  <c:v>150.09587023194715</c:v>
                </c:pt>
                <c:pt idx="884">
                  <c:v>150.09587023194715</c:v>
                </c:pt>
                <c:pt idx="885">
                  <c:v>150.09587023194715</c:v>
                </c:pt>
                <c:pt idx="886">
                  <c:v>150.09587023194715</c:v>
                </c:pt>
                <c:pt idx="887">
                  <c:v>150.09587023194715</c:v>
                </c:pt>
                <c:pt idx="888">
                  <c:v>150.09587023194715</c:v>
                </c:pt>
                <c:pt idx="889">
                  <c:v>150.09587023194715</c:v>
                </c:pt>
                <c:pt idx="890">
                  <c:v>150.09587023194715</c:v>
                </c:pt>
                <c:pt idx="891">
                  <c:v>150.09587023194715</c:v>
                </c:pt>
                <c:pt idx="892">
                  <c:v>150.09587023194715</c:v>
                </c:pt>
                <c:pt idx="893">
                  <c:v>150.09587023194715</c:v>
                </c:pt>
                <c:pt idx="894">
                  <c:v>150.09587023194715</c:v>
                </c:pt>
                <c:pt idx="895">
                  <c:v>150.09587023194715</c:v>
                </c:pt>
                <c:pt idx="896">
                  <c:v>150.09587023194715</c:v>
                </c:pt>
                <c:pt idx="897">
                  <c:v>150.09587023194715</c:v>
                </c:pt>
                <c:pt idx="898">
                  <c:v>150.09587023194715</c:v>
                </c:pt>
                <c:pt idx="899">
                  <c:v>150.09587023194715</c:v>
                </c:pt>
                <c:pt idx="900">
                  <c:v>150.09587023194715</c:v>
                </c:pt>
                <c:pt idx="901">
                  <c:v>150.09587023194715</c:v>
                </c:pt>
                <c:pt idx="902">
                  <c:v>150.09587023194715</c:v>
                </c:pt>
                <c:pt idx="903">
                  <c:v>150.09587023194715</c:v>
                </c:pt>
                <c:pt idx="904">
                  <c:v>150.09587023194715</c:v>
                </c:pt>
                <c:pt idx="905">
                  <c:v>150.09587023194715</c:v>
                </c:pt>
                <c:pt idx="906">
                  <c:v>150.09587023194715</c:v>
                </c:pt>
                <c:pt idx="907">
                  <c:v>150.09587023194715</c:v>
                </c:pt>
                <c:pt idx="908">
                  <c:v>150.09587023194715</c:v>
                </c:pt>
                <c:pt idx="909">
                  <c:v>150.09587023194715</c:v>
                </c:pt>
                <c:pt idx="910">
                  <c:v>150.09587023194715</c:v>
                </c:pt>
                <c:pt idx="911">
                  <c:v>150.09587023194715</c:v>
                </c:pt>
                <c:pt idx="912">
                  <c:v>150.09587023194715</c:v>
                </c:pt>
                <c:pt idx="913">
                  <c:v>150.09587023194715</c:v>
                </c:pt>
                <c:pt idx="914">
                  <c:v>150.09587023194715</c:v>
                </c:pt>
                <c:pt idx="915">
                  <c:v>150.09587023194715</c:v>
                </c:pt>
                <c:pt idx="916">
                  <c:v>150.09587023194715</c:v>
                </c:pt>
                <c:pt idx="917">
                  <c:v>150.09587023194715</c:v>
                </c:pt>
                <c:pt idx="918">
                  <c:v>150.09587023194715</c:v>
                </c:pt>
                <c:pt idx="919">
                  <c:v>150.09587023194715</c:v>
                </c:pt>
                <c:pt idx="920">
                  <c:v>150.09587023194715</c:v>
                </c:pt>
                <c:pt idx="921">
                  <c:v>150.09587023194715</c:v>
                </c:pt>
                <c:pt idx="922">
                  <c:v>150.09587023194715</c:v>
                </c:pt>
                <c:pt idx="923">
                  <c:v>150.09587023194715</c:v>
                </c:pt>
                <c:pt idx="924">
                  <c:v>150.09587023194715</c:v>
                </c:pt>
                <c:pt idx="925">
                  <c:v>150.09587023194715</c:v>
                </c:pt>
                <c:pt idx="926">
                  <c:v>150.09587023194715</c:v>
                </c:pt>
                <c:pt idx="927">
                  <c:v>150.09587023194715</c:v>
                </c:pt>
                <c:pt idx="928">
                  <c:v>150.09587023194715</c:v>
                </c:pt>
                <c:pt idx="929">
                  <c:v>150.09587023194715</c:v>
                </c:pt>
                <c:pt idx="930">
                  <c:v>150.09587023194715</c:v>
                </c:pt>
                <c:pt idx="931">
                  <c:v>150.09587023194715</c:v>
                </c:pt>
                <c:pt idx="932">
                  <c:v>150.09587023194715</c:v>
                </c:pt>
                <c:pt idx="933">
                  <c:v>150.09587023194715</c:v>
                </c:pt>
                <c:pt idx="934">
                  <c:v>150.09587023194715</c:v>
                </c:pt>
                <c:pt idx="935">
                  <c:v>150.09587023194715</c:v>
                </c:pt>
                <c:pt idx="936">
                  <c:v>150.09587023194715</c:v>
                </c:pt>
                <c:pt idx="937">
                  <c:v>150.09587023194715</c:v>
                </c:pt>
                <c:pt idx="938">
                  <c:v>150.09587023194715</c:v>
                </c:pt>
                <c:pt idx="939">
                  <c:v>150.09587023194715</c:v>
                </c:pt>
                <c:pt idx="940">
                  <c:v>150.09587023194715</c:v>
                </c:pt>
                <c:pt idx="941">
                  <c:v>150.09587023194715</c:v>
                </c:pt>
                <c:pt idx="942">
                  <c:v>150.09587023194715</c:v>
                </c:pt>
                <c:pt idx="943">
                  <c:v>150.09587023194715</c:v>
                </c:pt>
                <c:pt idx="944">
                  <c:v>150.09587023194715</c:v>
                </c:pt>
                <c:pt idx="945">
                  <c:v>150.09587023194715</c:v>
                </c:pt>
                <c:pt idx="946">
                  <c:v>150.09587023194715</c:v>
                </c:pt>
                <c:pt idx="947">
                  <c:v>150.09587023194715</c:v>
                </c:pt>
                <c:pt idx="948">
                  <c:v>150.09587023194715</c:v>
                </c:pt>
                <c:pt idx="949">
                  <c:v>150.09587023194715</c:v>
                </c:pt>
                <c:pt idx="950">
                  <c:v>150.09587023194715</c:v>
                </c:pt>
                <c:pt idx="951">
                  <c:v>150.09587023194715</c:v>
                </c:pt>
                <c:pt idx="952">
                  <c:v>150.09587023194715</c:v>
                </c:pt>
                <c:pt idx="953">
                  <c:v>150.09587023194715</c:v>
                </c:pt>
                <c:pt idx="954">
                  <c:v>150.09587023194715</c:v>
                </c:pt>
                <c:pt idx="955">
                  <c:v>150.09587023194715</c:v>
                </c:pt>
                <c:pt idx="956">
                  <c:v>150.09587023194715</c:v>
                </c:pt>
                <c:pt idx="957">
                  <c:v>150.09587023194715</c:v>
                </c:pt>
                <c:pt idx="958">
                  <c:v>150.09587023194715</c:v>
                </c:pt>
                <c:pt idx="959">
                  <c:v>150.09587023194715</c:v>
                </c:pt>
                <c:pt idx="960">
                  <c:v>150.09587023194715</c:v>
                </c:pt>
                <c:pt idx="961">
                  <c:v>150.09587023194715</c:v>
                </c:pt>
                <c:pt idx="962">
                  <c:v>150.09587023194715</c:v>
                </c:pt>
                <c:pt idx="963">
                  <c:v>150.09587023194715</c:v>
                </c:pt>
                <c:pt idx="964">
                  <c:v>150.09587023194715</c:v>
                </c:pt>
                <c:pt idx="965">
                  <c:v>150.09587023194715</c:v>
                </c:pt>
                <c:pt idx="966">
                  <c:v>150.09587023194715</c:v>
                </c:pt>
                <c:pt idx="967">
                  <c:v>150.09587023194715</c:v>
                </c:pt>
                <c:pt idx="968">
                  <c:v>150.09587023194715</c:v>
                </c:pt>
                <c:pt idx="969">
                  <c:v>150.09587023194715</c:v>
                </c:pt>
                <c:pt idx="970">
                  <c:v>150.09587023194715</c:v>
                </c:pt>
                <c:pt idx="971">
                  <c:v>150.09587023194715</c:v>
                </c:pt>
                <c:pt idx="972">
                  <c:v>150.09587023194715</c:v>
                </c:pt>
                <c:pt idx="973">
                  <c:v>150.09587023194715</c:v>
                </c:pt>
                <c:pt idx="974">
                  <c:v>150.09587023194715</c:v>
                </c:pt>
                <c:pt idx="975">
                  <c:v>150.09587023194715</c:v>
                </c:pt>
                <c:pt idx="976">
                  <c:v>150.09587023194715</c:v>
                </c:pt>
                <c:pt idx="977">
                  <c:v>150.09587023194715</c:v>
                </c:pt>
                <c:pt idx="978">
                  <c:v>150.09587023194715</c:v>
                </c:pt>
                <c:pt idx="979">
                  <c:v>150.09587023194715</c:v>
                </c:pt>
                <c:pt idx="980">
                  <c:v>150.09587023194715</c:v>
                </c:pt>
                <c:pt idx="981">
                  <c:v>150.09587023194715</c:v>
                </c:pt>
                <c:pt idx="982">
                  <c:v>150.09587023194715</c:v>
                </c:pt>
                <c:pt idx="983">
                  <c:v>150.09587023194715</c:v>
                </c:pt>
                <c:pt idx="984">
                  <c:v>150.09587023194715</c:v>
                </c:pt>
                <c:pt idx="985">
                  <c:v>150.09587023194715</c:v>
                </c:pt>
                <c:pt idx="986">
                  <c:v>150.09587023194715</c:v>
                </c:pt>
                <c:pt idx="987">
                  <c:v>150.09587023194715</c:v>
                </c:pt>
                <c:pt idx="988">
                  <c:v>150.09587023194715</c:v>
                </c:pt>
                <c:pt idx="989">
                  <c:v>150.09587023194715</c:v>
                </c:pt>
                <c:pt idx="990">
                  <c:v>150.09587023194715</c:v>
                </c:pt>
                <c:pt idx="991">
                  <c:v>150.09587023194715</c:v>
                </c:pt>
                <c:pt idx="992">
                  <c:v>150.09587023194715</c:v>
                </c:pt>
                <c:pt idx="993">
                  <c:v>150.09587023194715</c:v>
                </c:pt>
                <c:pt idx="994">
                  <c:v>150.09587023194715</c:v>
                </c:pt>
                <c:pt idx="995">
                  <c:v>150.09587023194715</c:v>
                </c:pt>
                <c:pt idx="996">
                  <c:v>150.09587023194715</c:v>
                </c:pt>
                <c:pt idx="997">
                  <c:v>150.09587023194715</c:v>
                </c:pt>
                <c:pt idx="998">
                  <c:v>150.09587023194715</c:v>
                </c:pt>
                <c:pt idx="999">
                  <c:v>150.09587023194715</c:v>
                </c:pt>
                <c:pt idx="1000">
                  <c:v>150.09587023194715</c:v>
                </c:pt>
              </c:numCache>
            </c:numRef>
          </c:xVal>
          <c:yVal>
            <c:numRef>
              <c:f>Calculs!$K$4:$K$1004</c:f>
              <c:numCache>
                <c:formatCode>0.00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291.09189288107132</c:v>
                </c:pt>
                <c:pt idx="262">
                  <c:v>290.06069183048686</c:v>
                </c:pt>
                <c:pt idx="263">
                  <c:v>288.93559987586428</c:v>
                </c:pt>
                <c:pt idx="264">
                  <c:v>287.71722909449147</c:v>
                </c:pt>
                <c:pt idx="265">
                  <c:v>286.40623463936765</c:v>
                </c:pt>
                <c:pt idx="266">
                  <c:v>285.00331428028829</c:v>
                </c:pt>
                <c:pt idx="267">
                  <c:v>283.50920767750182</c:v>
                </c:pt>
                <c:pt idx="268">
                  <c:v>281.9246954376257</c:v>
                </c:pt>
                <c:pt idx="269">
                  <c:v>280.25059799104753</c:v>
                </c:pt>
                <c:pt idx="270">
                  <c:v>278.4877743220685</c:v>
                </c:pt>
                <c:pt idx="271">
                  <c:v>276.63712057704515</c:v>
                </c:pt>
                <c:pt idx="272">
                  <c:v>274.69956857128471</c:v>
                </c:pt>
                <c:pt idx="273">
                  <c:v>272.67608421207359</c:v>
                </c:pt>
                <c:pt idx="274">
                  <c:v>270.56766585267269</c:v>
                </c:pt>
                <c:pt idx="275">
                  <c:v>268.37534259017303</c:v>
                </c:pt>
                <c:pt idx="276">
                  <c:v>266.10017251860978</c:v>
                </c:pt>
                <c:pt idx="277">
                  <c:v>263.7432409475532</c:v>
                </c:pt>
                <c:pt idx="278">
                  <c:v>261.30565859544896</c:v>
                </c:pt>
                <c:pt idx="279">
                  <c:v>258.78855976619644</c:v>
                </c:pt>
                <c:pt idx="280">
                  <c:v>256.19310051679088</c:v>
                </c:pt>
                <c:pt idx="281">
                  <c:v>253.52045682327267</c:v>
                </c:pt>
                <c:pt idx="282">
                  <c:v>250.77182275170779</c:v>
                </c:pt>
                <c:pt idx="283">
                  <c:v>247.9484086404436</c:v>
                </c:pt>
                <c:pt idx="284">
                  <c:v>245.0514392994348</c:v>
                </c:pt>
                <c:pt idx="285">
                  <c:v>242.08215223200716</c:v>
                </c:pt>
                <c:pt idx="286">
                  <c:v>239.04179588401399</c:v>
                </c:pt>
                <c:pt idx="287">
                  <c:v>235.93162792494019</c:v>
                </c:pt>
                <c:pt idx="288">
                  <c:v>232.75291356511812</c:v>
                </c:pt>
                <c:pt idx="289">
                  <c:v>229.50692391283829</c:v>
                </c:pt>
                <c:pt idx="290">
                  <c:v>226.19493437476322</c:v>
                </c:pt>
                <c:pt idx="291">
                  <c:v>222.81822310268873</c:v>
                </c:pt>
                <c:pt idx="292">
                  <c:v>219.37806948934011</c:v>
                </c:pt>
                <c:pt idx="293">
                  <c:v>215.87575271554374</c:v>
                </c:pt>
                <c:pt idx="294">
                  <c:v>212.31255035077942</c:v>
                </c:pt>
                <c:pt idx="295">
                  <c:v>208.68973700879292</c:v>
                </c:pt>
                <c:pt idx="296">
                  <c:v>205.00858305963612</c:v>
                </c:pt>
                <c:pt idx="297">
                  <c:v>201.270353399203</c:v>
                </c:pt>
                <c:pt idx="298">
                  <c:v>197.47630627704319</c:v>
                </c:pt>
                <c:pt idx="299">
                  <c:v>193.62769218296484</c:v>
                </c:pt>
                <c:pt idx="300">
                  <c:v>189.72575279268128</c:v>
                </c:pt>
                <c:pt idx="301">
                  <c:v>185.77171997251639</c:v>
                </c:pt>
                <c:pt idx="302">
                  <c:v>181.76681484295801</c:v>
                </c:pt>
                <c:pt idx="303">
                  <c:v>177.71224690064031</c:v>
                </c:pt>
                <c:pt idx="304">
                  <c:v>173.6092131981431</c:v>
                </c:pt>
                <c:pt idx="305">
                  <c:v>169.45889758081921</c:v>
                </c:pt>
                <c:pt idx="306">
                  <c:v>165.2624699797</c:v>
                </c:pt>
                <c:pt idx="307">
                  <c:v>161.02108575938396</c:v>
                </c:pt>
                <c:pt idx="308">
                  <c:v>156.73588511968285</c:v>
                </c:pt>
                <c:pt idx="309">
                  <c:v>152.40799254968468</c:v>
                </c:pt>
                <c:pt idx="310">
                  <c:v>148.03851633279217</c:v>
                </c:pt>
                <c:pt idx="311">
                  <c:v>143.62854810120749</c:v>
                </c:pt>
                <c:pt idx="312">
                  <c:v>139.17916243826082</c:v>
                </c:pt>
                <c:pt idx="313">
                  <c:v>134.69141652691863</c:v>
                </c:pt>
                <c:pt idx="314">
                  <c:v>130.16634984275808</c:v>
                </c:pt>
                <c:pt idx="315">
                  <c:v>125.60498388965577</c:v>
                </c:pt>
                <c:pt idx="316">
                  <c:v>121.00832197641151</c:v>
                </c:pt>
                <c:pt idx="317">
                  <c:v>116.37734903250951</c:v>
                </c:pt>
                <c:pt idx="318">
                  <c:v>111.71303146121105</c:v>
                </c:pt>
                <c:pt idx="319">
                  <c:v>107.01631702817177</c:v>
                </c:pt>
                <c:pt idx="320">
                  <c:v>102.28813478378433</c:v>
                </c:pt>
                <c:pt idx="321">
                  <c:v>97.529395017461056</c:v>
                </c:pt>
                <c:pt idx="322">
                  <c:v>92.740989242092127</c:v>
                </c:pt>
                <c:pt idx="323">
                  <c:v>87.923790206940623</c:v>
                </c:pt>
                <c:pt idx="324">
                  <c:v>83.078651937267338</c:v>
                </c:pt>
                <c:pt idx="325">
                  <c:v>78.206409799013784</c:v>
                </c:pt>
                <c:pt idx="326">
                  <c:v>73.307880586911466</c:v>
                </c:pt>
                <c:pt idx="327">
                  <c:v>68.383862634428411</c:v>
                </c:pt>
                <c:pt idx="328">
                  <c:v>63.435135944009716</c:v>
                </c:pt>
                <c:pt idx="329">
                  <c:v>58.462462336117014</c:v>
                </c:pt>
                <c:pt idx="330">
                  <c:v>53.466585615621725</c:v>
                </c:pt>
                <c:pt idx="331">
                  <c:v>48.448231754158705</c:v>
                </c:pt>
                <c:pt idx="332">
                  <c:v>43.408109087099412</c:v>
                </c:pt>
                <c:pt idx="333">
                  <c:v>38.346908523857202</c:v>
                </c:pt>
                <c:pt idx="334">
                  <c:v>33.265303770291418</c:v>
                </c:pt>
                <c:pt idx="335">
                  <c:v>28.16395156203081</c:v>
                </c:pt>
                <c:pt idx="336">
                  <c:v>23.043491907591019</c:v>
                </c:pt>
                <c:pt idx="337">
                  <c:v>17.904548340214294</c:v>
                </c:pt>
                <c:pt idx="338">
                  <c:v>12.747728177412935</c:v>
                </c:pt>
                <c:pt idx="339">
                  <c:v>7.5736227872500832</c:v>
                </c:pt>
                <c:pt idx="340">
                  <c:v>2.3828078604431502</c:v>
                </c:pt>
                <c:pt idx="341">
                  <c:v>-2.8241563125745657</c:v>
                </c:pt>
                <c:pt idx="342">
                  <c:v>-2.8293712208732744</c:v>
                </c:pt>
                <c:pt idx="343">
                  <c:v>-2.834586144506956</c:v>
                </c:pt>
                <c:pt idx="344">
                  <c:v>-2.8398010834750882</c:v>
                </c:pt>
                <c:pt idx="345">
                  <c:v>-2.8450160377771492</c:v>
                </c:pt>
                <c:pt idx="346">
                  <c:v>-2.8502310074126171</c:v>
                </c:pt>
                <c:pt idx="347">
                  <c:v>-2.8554459923809703</c:v>
                </c:pt>
                <c:pt idx="348">
                  <c:v>-2.8606609926816868</c:v>
                </c:pt>
                <c:pt idx="349">
                  <c:v>-2.8658760083142449</c:v>
                </c:pt>
                <c:pt idx="350">
                  <c:v>-2.8710910392781224</c:v>
                </c:pt>
                <c:pt idx="351">
                  <c:v>-2.8763060855727978</c:v>
                </c:pt>
                <c:pt idx="352">
                  <c:v>-2.8815211471977493</c:v>
                </c:pt>
                <c:pt idx="353">
                  <c:v>-2.8867362241524552</c:v>
                </c:pt>
                <c:pt idx="354">
                  <c:v>-2.8919513164363937</c:v>
                </c:pt>
                <c:pt idx="355">
                  <c:v>-2.8971664240490429</c:v>
                </c:pt>
                <c:pt idx="356">
                  <c:v>-2.9023815469898815</c:v>
                </c:pt>
                <c:pt idx="357">
                  <c:v>-2.9075966852583872</c:v>
                </c:pt>
                <c:pt idx="358">
                  <c:v>-2.9128118388540387</c:v>
                </c:pt>
                <c:pt idx="359">
                  <c:v>-2.9180270077763142</c:v>
                </c:pt>
                <c:pt idx="360">
                  <c:v>-2.9232421920246923</c:v>
                </c:pt>
                <c:pt idx="361">
                  <c:v>-2.9284573915986511</c:v>
                </c:pt>
                <c:pt idx="362">
                  <c:v>-2.933672606497669</c:v>
                </c:pt>
                <c:pt idx="363">
                  <c:v>-2.9388878367212246</c:v>
                </c:pt>
                <c:pt idx="364">
                  <c:v>-2.9441030822687959</c:v>
                </c:pt>
                <c:pt idx="365">
                  <c:v>-2.9493183431398613</c:v>
                </c:pt>
                <c:pt idx="366">
                  <c:v>-2.9545336193338994</c:v>
                </c:pt>
                <c:pt idx="367">
                  <c:v>-2.9597489108503887</c:v>
                </c:pt>
                <c:pt idx="368">
                  <c:v>-2.9649642176888076</c:v>
                </c:pt>
                <c:pt idx="369">
                  <c:v>-2.9701795398486346</c:v>
                </c:pt>
                <c:pt idx="370">
                  <c:v>-2.9753948773293479</c:v>
                </c:pt>
                <c:pt idx="371">
                  <c:v>-2.9806102301304263</c:v>
                </c:pt>
                <c:pt idx="372">
                  <c:v>-2.9858255982513482</c:v>
                </c:pt>
                <c:pt idx="373">
                  <c:v>-2.9910409816915919</c:v>
                </c:pt>
                <c:pt idx="374">
                  <c:v>-2.9962563804506366</c:v>
                </c:pt>
                <c:pt idx="375">
                  <c:v>-3.0014717945279603</c:v>
                </c:pt>
                <c:pt idx="376">
                  <c:v>-3.0066872239230418</c:v>
                </c:pt>
                <c:pt idx="377">
                  <c:v>-3.0119026686353592</c:v>
                </c:pt>
                <c:pt idx="378">
                  <c:v>-3.0171181286643916</c:v>
                </c:pt>
                <c:pt idx="379">
                  <c:v>-3.0223336040096176</c:v>
                </c:pt>
                <c:pt idx="380">
                  <c:v>-3.0275490946705155</c:v>
                </c:pt>
                <c:pt idx="381">
                  <c:v>-3.0327646006465643</c:v>
                </c:pt>
                <c:pt idx="382">
                  <c:v>-3.0379801219372422</c:v>
                </c:pt>
                <c:pt idx="383">
                  <c:v>-3.0431956585420283</c:v>
                </c:pt>
                <c:pt idx="384">
                  <c:v>-3.0484112104604013</c:v>
                </c:pt>
                <c:pt idx="385">
                  <c:v>-3.0536267776918393</c:v>
                </c:pt>
                <c:pt idx="386">
                  <c:v>-3.0588423602358215</c:v>
                </c:pt>
                <c:pt idx="387">
                  <c:v>-3.0640579580918268</c:v>
                </c:pt>
                <c:pt idx="388">
                  <c:v>-3.0692735712593335</c:v>
                </c:pt>
                <c:pt idx="389">
                  <c:v>-3.0744891997378203</c:v>
                </c:pt>
                <c:pt idx="390">
                  <c:v>-3.0797048435267662</c:v>
                </c:pt>
                <c:pt idx="391">
                  <c:v>-3.0849205026256503</c:v>
                </c:pt>
                <c:pt idx="392">
                  <c:v>-3.0901361770339508</c:v>
                </c:pt>
                <c:pt idx="393">
                  <c:v>-3.0953518667511468</c:v>
                </c:pt>
                <c:pt idx="394">
                  <c:v>-3.1005675717767169</c:v>
                </c:pt>
                <c:pt idx="395">
                  <c:v>-3.1057832921101403</c:v>
                </c:pt>
                <c:pt idx="396">
                  <c:v>-3.1109990277508954</c:v>
                </c:pt>
                <c:pt idx="397">
                  <c:v>-3.1162147786984615</c:v>
                </c:pt>
                <c:pt idx="398">
                  <c:v>-3.1214305449523172</c:v>
                </c:pt>
                <c:pt idx="399">
                  <c:v>-3.1266463265119415</c:v>
                </c:pt>
                <c:pt idx="400">
                  <c:v>-3.1318621233768131</c:v>
                </c:pt>
                <c:pt idx="401">
                  <c:v>-3.1370779355464116</c:v>
                </c:pt>
                <c:pt idx="402">
                  <c:v>-3.142293763020215</c:v>
                </c:pt>
                <c:pt idx="403">
                  <c:v>-3.147509605797703</c:v>
                </c:pt>
                <c:pt idx="404">
                  <c:v>-3.1527254638783542</c:v>
                </c:pt>
                <c:pt idx="405">
                  <c:v>-3.1579413372616476</c:v>
                </c:pt>
                <c:pt idx="406">
                  <c:v>-3.1631572259470619</c:v>
                </c:pt>
                <c:pt idx="407">
                  <c:v>-3.1683731299340767</c:v>
                </c:pt>
                <c:pt idx="408">
                  <c:v>-3.1735890492221706</c:v>
                </c:pt>
                <c:pt idx="409">
                  <c:v>-3.1788049838108225</c:v>
                </c:pt>
                <c:pt idx="410">
                  <c:v>-3.1840209336995122</c:v>
                </c:pt>
                <c:pt idx="411">
                  <c:v>-3.1892368988877182</c:v>
                </c:pt>
                <c:pt idx="412">
                  <c:v>-3.1944528793749196</c:v>
                </c:pt>
                <c:pt idx="413">
                  <c:v>-3.1996688751605955</c:v>
                </c:pt>
                <c:pt idx="414">
                  <c:v>-3.204884886244225</c:v>
                </c:pt>
                <c:pt idx="415">
                  <c:v>-3.2101009126252871</c:v>
                </c:pt>
                <c:pt idx="416">
                  <c:v>-3.2153169543032614</c:v>
                </c:pt>
                <c:pt idx="417">
                  <c:v>-3.2205330112776265</c:v>
                </c:pt>
                <c:pt idx="418">
                  <c:v>-3.2257490835478619</c:v>
                </c:pt>
                <c:pt idx="419">
                  <c:v>-3.2309651711134468</c:v>
                </c:pt>
                <c:pt idx="420">
                  <c:v>-3.2361812739738602</c:v>
                </c:pt>
                <c:pt idx="421">
                  <c:v>-3.2413973921285812</c:v>
                </c:pt>
                <c:pt idx="422">
                  <c:v>-3.2466135255770894</c:v>
                </c:pt>
                <c:pt idx="423">
                  <c:v>-3.2518296743188637</c:v>
                </c:pt>
                <c:pt idx="424">
                  <c:v>-3.2570458383533838</c:v>
                </c:pt>
                <c:pt idx="425">
                  <c:v>-3.2622620176801282</c:v>
                </c:pt>
                <c:pt idx="426">
                  <c:v>-3.267478212298577</c:v>
                </c:pt>
                <c:pt idx="427">
                  <c:v>-3.2726944222082088</c:v>
                </c:pt>
                <c:pt idx="428">
                  <c:v>-3.2779106474085036</c:v>
                </c:pt>
                <c:pt idx="429">
                  <c:v>-3.2831268878989399</c:v>
                </c:pt>
                <c:pt idx="430">
                  <c:v>-3.2883431436789978</c:v>
                </c:pt>
                <c:pt idx="431">
                  <c:v>-3.2935594147481564</c:v>
                </c:pt>
                <c:pt idx="432">
                  <c:v>-3.2987757011058947</c:v>
                </c:pt>
                <c:pt idx="433">
                  <c:v>-3.3039920027516922</c:v>
                </c:pt>
                <c:pt idx="434">
                  <c:v>-3.3092083196850286</c:v>
                </c:pt>
                <c:pt idx="435">
                  <c:v>-3.3144246519053833</c:v>
                </c:pt>
                <c:pt idx="436">
                  <c:v>-3.3196409994122353</c:v>
                </c:pt>
                <c:pt idx="437">
                  <c:v>-3.3248573622050643</c:v>
                </c:pt>
                <c:pt idx="438">
                  <c:v>-3.3300737402833498</c:v>
                </c:pt>
                <c:pt idx="439">
                  <c:v>-3.3352901336465712</c:v>
                </c:pt>
                <c:pt idx="440">
                  <c:v>-3.3405065422942077</c:v>
                </c:pt>
                <c:pt idx="441">
                  <c:v>-3.3457229662257393</c:v>
                </c:pt>
                <c:pt idx="442">
                  <c:v>-3.3509394054406454</c:v>
                </c:pt>
                <c:pt idx="443">
                  <c:v>-3.3561558599384052</c:v>
                </c:pt>
                <c:pt idx="444">
                  <c:v>-3.3613723297184985</c:v>
                </c:pt>
                <c:pt idx="445">
                  <c:v>-3.3665888147804046</c:v>
                </c:pt>
                <c:pt idx="446">
                  <c:v>-3.3718053151236034</c:v>
                </c:pt>
                <c:pt idx="447">
                  <c:v>-3.3770218307475743</c:v>
                </c:pt>
                <c:pt idx="448">
                  <c:v>-3.3822383616517966</c:v>
                </c:pt>
                <c:pt idx="449">
                  <c:v>-3.3874549078357501</c:v>
                </c:pt>
                <c:pt idx="450">
                  <c:v>-3.3926714692989148</c:v>
                </c:pt>
                <c:pt idx="451">
                  <c:v>-3.3978880460407699</c:v>
                </c:pt>
                <c:pt idx="452">
                  <c:v>-3.4031046380607952</c:v>
                </c:pt>
                <c:pt idx="453">
                  <c:v>-3.4083212453584704</c:v>
                </c:pt>
                <c:pt idx="454">
                  <c:v>-3.4135378679332748</c:v>
                </c:pt>
                <c:pt idx="455">
                  <c:v>-3.4187545057846886</c:v>
                </c:pt>
                <c:pt idx="456">
                  <c:v>-3.4239711589121913</c:v>
                </c:pt>
                <c:pt idx="457">
                  <c:v>-3.4291878273152627</c:v>
                </c:pt>
                <c:pt idx="458">
                  <c:v>-3.4344045109933825</c:v>
                </c:pt>
                <c:pt idx="459">
                  <c:v>-3.4396212099460302</c:v>
                </c:pt>
                <c:pt idx="460">
                  <c:v>-3.4448379241726856</c:v>
                </c:pt>
                <c:pt idx="461">
                  <c:v>-3.4500546536728289</c:v>
                </c:pt>
                <c:pt idx="462">
                  <c:v>-3.4552713984459396</c:v>
                </c:pt>
                <c:pt idx="463">
                  <c:v>-3.4604881584914975</c:v>
                </c:pt>
                <c:pt idx="464">
                  <c:v>-3.4657049338089823</c:v>
                </c:pt>
                <c:pt idx="465">
                  <c:v>-3.4709217243978738</c:v>
                </c:pt>
                <c:pt idx="466">
                  <c:v>-3.4761385302576522</c:v>
                </c:pt>
                <c:pt idx="467">
                  <c:v>-3.4813553513877973</c:v>
                </c:pt>
                <c:pt idx="468">
                  <c:v>-3.4865721877877887</c:v>
                </c:pt>
                <c:pt idx="469">
                  <c:v>-3.4917890394571063</c:v>
                </c:pt>
                <c:pt idx="470">
                  <c:v>-3.4970059063952301</c:v>
                </c:pt>
                <c:pt idx="471">
                  <c:v>-3.5022227886016402</c:v>
                </c:pt>
                <c:pt idx="472">
                  <c:v>-3.5074396860758164</c:v>
                </c:pt>
                <c:pt idx="473">
                  <c:v>-3.5126565988172382</c:v>
                </c:pt>
                <c:pt idx="474">
                  <c:v>-3.5178735268253862</c:v>
                </c:pt>
                <c:pt idx="475">
                  <c:v>-3.5230904700997403</c:v>
                </c:pt>
                <c:pt idx="476">
                  <c:v>-3.52830742863978</c:v>
                </c:pt>
                <c:pt idx="477">
                  <c:v>-3.5335244024449857</c:v>
                </c:pt>
                <c:pt idx="478">
                  <c:v>-3.5387413915148374</c:v>
                </c:pt>
                <c:pt idx="479">
                  <c:v>-3.543958395848815</c:v>
                </c:pt>
                <c:pt idx="480">
                  <c:v>-3.5491754154463986</c:v>
                </c:pt>
                <c:pt idx="481">
                  <c:v>-3.5543924503070685</c:v>
                </c:pt>
                <c:pt idx="482">
                  <c:v>-3.5596095004303043</c:v>
                </c:pt>
                <c:pt idx="483">
                  <c:v>-3.5648265658155864</c:v>
                </c:pt>
                <c:pt idx="484">
                  <c:v>-3.5700436464623948</c:v>
                </c:pt>
                <c:pt idx="485">
                  <c:v>-3.5752607423702099</c:v>
                </c:pt>
                <c:pt idx="486">
                  <c:v>-3.5804778535385116</c:v>
                </c:pt>
                <c:pt idx="487">
                  <c:v>-3.5856949799667799</c:v>
                </c:pt>
                <c:pt idx="488">
                  <c:v>-3.5909121216544948</c:v>
                </c:pt>
                <c:pt idx="489">
                  <c:v>-3.5961292786011372</c:v>
                </c:pt>
                <c:pt idx="490">
                  <c:v>-3.6013464508061865</c:v>
                </c:pt>
                <c:pt idx="491">
                  <c:v>-3.6065636382691233</c:v>
                </c:pt>
                <c:pt idx="492">
                  <c:v>-3.6117808409894279</c:v>
                </c:pt>
                <c:pt idx="493">
                  <c:v>-3.6169980589665802</c:v>
                </c:pt>
                <c:pt idx="494">
                  <c:v>-3.6222152922000608</c:v>
                </c:pt>
                <c:pt idx="495">
                  <c:v>-3.6274325406893495</c:v>
                </c:pt>
                <c:pt idx="496">
                  <c:v>-3.6326498044339268</c:v>
                </c:pt>
                <c:pt idx="497">
                  <c:v>-3.6378670834332731</c:v>
                </c:pt>
                <c:pt idx="498">
                  <c:v>-3.6430843776868689</c:v>
                </c:pt>
                <c:pt idx="499">
                  <c:v>-3.648301687194194</c:v>
                </c:pt>
                <c:pt idx="500">
                  <c:v>-3.6535190119547289</c:v>
                </c:pt>
                <c:pt idx="501">
                  <c:v>-3.6587363519679541</c:v>
                </c:pt>
                <c:pt idx="502">
                  <c:v>-3.6639537072333499</c:v>
                </c:pt>
                <c:pt idx="503">
                  <c:v>-3.6691710777503967</c:v>
                </c:pt>
                <c:pt idx="504">
                  <c:v>-3.6743884635185746</c:v>
                </c:pt>
                <c:pt idx="505">
                  <c:v>-3.6796058645373644</c:v>
                </c:pt>
                <c:pt idx="506">
                  <c:v>-3.6848232808062464</c:v>
                </c:pt>
                <c:pt idx="507">
                  <c:v>-3.6900407123247008</c:v>
                </c:pt>
                <c:pt idx="508">
                  <c:v>-3.6952581590922082</c:v>
                </c:pt>
                <c:pt idx="509">
                  <c:v>-3.7004756211082492</c:v>
                </c:pt>
                <c:pt idx="510">
                  <c:v>-3.7056930983723042</c:v>
                </c:pt>
                <c:pt idx="511">
                  <c:v>-3.7109105908838536</c:v>
                </c:pt>
                <c:pt idx="512">
                  <c:v>-3.7161280986423777</c:v>
                </c:pt>
                <c:pt idx="513">
                  <c:v>-3.7213456216473575</c:v>
                </c:pt>
                <c:pt idx="514">
                  <c:v>-3.7265631598982729</c:v>
                </c:pt>
                <c:pt idx="515">
                  <c:v>-3.7317807133946048</c:v>
                </c:pt>
                <c:pt idx="516">
                  <c:v>-3.7369982821358341</c:v>
                </c:pt>
                <c:pt idx="517">
                  <c:v>-3.7422158661214406</c:v>
                </c:pt>
                <c:pt idx="518">
                  <c:v>-3.7474334653509054</c:v>
                </c:pt>
                <c:pt idx="519">
                  <c:v>-3.7526510798237092</c:v>
                </c:pt>
                <c:pt idx="520">
                  <c:v>-3.7578687095393324</c:v>
                </c:pt>
                <c:pt idx="521">
                  <c:v>-3.7630863544972555</c:v>
                </c:pt>
                <c:pt idx="522">
                  <c:v>-3.7683040146969593</c:v>
                </c:pt>
                <c:pt idx="523">
                  <c:v>-3.7735216901379247</c:v>
                </c:pt>
                <c:pt idx="524">
                  <c:v>-3.7787393808196321</c:v>
                </c:pt>
                <c:pt idx="525">
                  <c:v>-3.7839570867415619</c:v>
                </c:pt>
                <c:pt idx="526">
                  <c:v>-3.7891748079031951</c:v>
                </c:pt>
                <c:pt idx="527">
                  <c:v>-3.7943925443040123</c:v>
                </c:pt>
                <c:pt idx="528">
                  <c:v>-3.7996102959434945</c:v>
                </c:pt>
                <c:pt idx="529">
                  <c:v>-3.8048280628211222</c:v>
                </c:pt>
                <c:pt idx="530">
                  <c:v>-3.8100458449363761</c:v>
                </c:pt>
                <c:pt idx="531">
                  <c:v>-3.8152636422887372</c:v>
                </c:pt>
                <c:pt idx="532">
                  <c:v>-3.8204814548776862</c:v>
                </c:pt>
                <c:pt idx="533">
                  <c:v>-3.8256992827027037</c:v>
                </c:pt>
                <c:pt idx="534">
                  <c:v>-3.8309171257632708</c:v>
                </c:pt>
                <c:pt idx="535">
                  <c:v>-3.8361349840588681</c:v>
                </c:pt>
                <c:pt idx="536">
                  <c:v>-3.8413528575889768</c:v>
                </c:pt>
                <c:pt idx="537">
                  <c:v>-3.8465707463530774</c:v>
                </c:pt>
                <c:pt idx="538">
                  <c:v>-3.8517886503506507</c:v>
                </c:pt>
                <c:pt idx="539">
                  <c:v>-3.8570065695811779</c:v>
                </c:pt>
                <c:pt idx="540">
                  <c:v>-3.8622245040441396</c:v>
                </c:pt>
                <c:pt idx="541">
                  <c:v>-3.8674424537390171</c:v>
                </c:pt>
                <c:pt idx="542">
                  <c:v>-3.8726604186652906</c:v>
                </c:pt>
                <c:pt idx="543">
                  <c:v>-3.8778783988224417</c:v>
                </c:pt>
                <c:pt idx="544">
                  <c:v>-3.883096394209951</c:v>
                </c:pt>
                <c:pt idx="545">
                  <c:v>-3.8883144048273</c:v>
                </c:pt>
                <c:pt idx="546">
                  <c:v>-3.8935324306739689</c:v>
                </c:pt>
                <c:pt idx="547">
                  <c:v>-3.8987504717494392</c:v>
                </c:pt>
                <c:pt idx="548">
                  <c:v>-3.9039685280531922</c:v>
                </c:pt>
                <c:pt idx="549">
                  <c:v>-3.9091865995847082</c:v>
                </c:pt>
                <c:pt idx="550">
                  <c:v>-3.9144046863434685</c:v>
                </c:pt>
                <c:pt idx="551">
                  <c:v>-3.9196227883289545</c:v>
                </c:pt>
                <c:pt idx="552">
                  <c:v>-3.924840905540647</c:v>
                </c:pt>
                <c:pt idx="553">
                  <c:v>-3.9300590379780269</c:v>
                </c:pt>
                <c:pt idx="554">
                  <c:v>-3.9352771856405755</c:v>
                </c:pt>
                <c:pt idx="555">
                  <c:v>-3.9404953485277741</c:v>
                </c:pt>
                <c:pt idx="556">
                  <c:v>-3.9457135266391035</c:v>
                </c:pt>
                <c:pt idx="557">
                  <c:v>-3.950931719974045</c:v>
                </c:pt>
                <c:pt idx="558">
                  <c:v>-3.9561499285320796</c:v>
                </c:pt>
                <c:pt idx="559">
                  <c:v>-3.9613681523126885</c:v>
                </c:pt>
                <c:pt idx="560">
                  <c:v>-3.966586391315353</c:v>
                </c:pt>
                <c:pt idx="561">
                  <c:v>-3.9718046455395544</c:v>
                </c:pt>
                <c:pt idx="562">
                  <c:v>-3.9770229149847736</c:v>
                </c:pt>
                <c:pt idx="563">
                  <c:v>-3.9822411996504918</c:v>
                </c:pt>
                <c:pt idx="564">
                  <c:v>-3.9874594995361905</c:v>
                </c:pt>
                <c:pt idx="565">
                  <c:v>-3.9926778146413509</c:v>
                </c:pt>
                <c:pt idx="566">
                  <c:v>-3.9978961449654542</c:v>
                </c:pt>
                <c:pt idx="567">
                  <c:v>-4.0031144905079818</c:v>
                </c:pt>
                <c:pt idx="568">
                  <c:v>-4.0083328512684151</c:v>
                </c:pt>
                <c:pt idx="569">
                  <c:v>-4.0135512272462348</c:v>
                </c:pt>
                <c:pt idx="570">
                  <c:v>-4.0187696184409232</c:v>
                </c:pt>
                <c:pt idx="571">
                  <c:v>-4.0239880248519606</c:v>
                </c:pt>
                <c:pt idx="572">
                  <c:v>-4.0292064464788284</c:v>
                </c:pt>
                <c:pt idx="573">
                  <c:v>-4.0344248833210088</c:v>
                </c:pt>
                <c:pt idx="574">
                  <c:v>-4.039643335377983</c:v>
                </c:pt>
                <c:pt idx="575">
                  <c:v>-4.0448618026492316</c:v>
                </c:pt>
                <c:pt idx="576">
                  <c:v>-4.0500802851342366</c:v>
                </c:pt>
                <c:pt idx="577">
                  <c:v>-4.0552987828324794</c:v>
                </c:pt>
                <c:pt idx="578">
                  <c:v>-4.0605172957434412</c:v>
                </c:pt>
                <c:pt idx="579">
                  <c:v>-4.0657358238666044</c:v>
                </c:pt>
                <c:pt idx="580">
                  <c:v>-4.0709543672014492</c:v>
                </c:pt>
                <c:pt idx="581">
                  <c:v>-4.0761729257474579</c:v>
                </c:pt>
                <c:pt idx="582">
                  <c:v>-4.0813914995041118</c:v>
                </c:pt>
                <c:pt idx="583">
                  <c:v>-4.0866100884708922</c:v>
                </c:pt>
                <c:pt idx="584">
                  <c:v>-4.0918286926472804</c:v>
                </c:pt>
                <c:pt idx="585">
                  <c:v>-4.0970473120327586</c:v>
                </c:pt>
                <c:pt idx="586">
                  <c:v>-4.1022659466268081</c:v>
                </c:pt>
                <c:pt idx="587">
                  <c:v>-4.1074845964289102</c:v>
                </c:pt>
                <c:pt idx="588">
                  <c:v>-4.1127032614385461</c:v>
                </c:pt>
                <c:pt idx="589">
                  <c:v>-4.1179219416551982</c:v>
                </c:pt>
                <c:pt idx="590">
                  <c:v>-4.1231406370783477</c:v>
                </c:pt>
                <c:pt idx="591">
                  <c:v>-4.1283593477074767</c:v>
                </c:pt>
                <c:pt idx="592">
                  <c:v>-4.1335780735420666</c:v>
                </c:pt>
                <c:pt idx="593">
                  <c:v>-4.1387968145815988</c:v>
                </c:pt>
                <c:pt idx="594">
                  <c:v>-4.1440155708255553</c:v>
                </c:pt>
                <c:pt idx="595">
                  <c:v>-4.1492343422734175</c:v>
                </c:pt>
                <c:pt idx="596">
                  <c:v>-4.1544531289246667</c:v>
                </c:pt>
                <c:pt idx="597">
                  <c:v>-4.1596719307787851</c:v>
                </c:pt>
                <c:pt idx="598">
                  <c:v>-4.1648907478352548</c:v>
                </c:pt>
                <c:pt idx="599">
                  <c:v>-4.1701095800935573</c:v>
                </c:pt>
                <c:pt idx="600">
                  <c:v>-4.1753284275531737</c:v>
                </c:pt>
                <c:pt idx="601">
                  <c:v>-4.1805472902135863</c:v>
                </c:pt>
                <c:pt idx="602">
                  <c:v>-4.1857661680742773</c:v>
                </c:pt>
                <c:pt idx="603">
                  <c:v>-4.1909850611347279</c:v>
                </c:pt>
                <c:pt idx="604">
                  <c:v>-4.1962039693944195</c:v>
                </c:pt>
                <c:pt idx="605">
                  <c:v>-4.2014228928528352</c:v>
                </c:pt>
                <c:pt idx="606">
                  <c:v>-4.2066418315094554</c:v>
                </c:pt>
                <c:pt idx="607">
                  <c:v>-4.2118607853637631</c:v>
                </c:pt>
                <c:pt idx="608">
                  <c:v>-4.2170797544152396</c:v>
                </c:pt>
                <c:pt idx="609">
                  <c:v>-4.2222987386633664</c:v>
                </c:pt>
                <c:pt idx="610">
                  <c:v>-4.2275177381076263</c:v>
                </c:pt>
                <c:pt idx="611">
                  <c:v>-4.2327367527475008</c:v>
                </c:pt>
                <c:pt idx="612">
                  <c:v>-4.2379557825824712</c:v>
                </c:pt>
                <c:pt idx="613">
                  <c:v>-4.2431748276120205</c:v>
                </c:pt>
                <c:pt idx="614">
                  <c:v>-4.24839388783563</c:v>
                </c:pt>
                <c:pt idx="615">
                  <c:v>-4.2536129632527819</c:v>
                </c:pt>
                <c:pt idx="616">
                  <c:v>-4.2588320538629576</c:v>
                </c:pt>
                <c:pt idx="617">
                  <c:v>-4.2640511596656401</c:v>
                </c:pt>
                <c:pt idx="618">
                  <c:v>-4.2692702806603107</c:v>
                </c:pt>
                <c:pt idx="619">
                  <c:v>-4.2744894168464516</c:v>
                </c:pt>
                <c:pt idx="620">
                  <c:v>-4.279708568223545</c:v>
                </c:pt>
                <c:pt idx="621">
                  <c:v>-4.2849277347910721</c:v>
                </c:pt>
                <c:pt idx="622">
                  <c:v>-4.2901469165485162</c:v>
                </c:pt>
                <c:pt idx="623">
                  <c:v>-4.2953661134953585</c:v>
                </c:pt>
                <c:pt idx="624">
                  <c:v>-4.3005853256310811</c:v>
                </c:pt>
                <c:pt idx="625">
                  <c:v>-4.3058045529551672</c:v>
                </c:pt>
                <c:pt idx="626">
                  <c:v>-4.311023795467098</c:v>
                </c:pt>
                <c:pt idx="627">
                  <c:v>-4.3162430531663558</c:v>
                </c:pt>
                <c:pt idx="628">
                  <c:v>-4.3214623260524219</c:v>
                </c:pt>
                <c:pt idx="629">
                  <c:v>-4.3266816141247793</c:v>
                </c:pt>
                <c:pt idx="630">
                  <c:v>-4.3319009173829102</c:v>
                </c:pt>
                <c:pt idx="631">
                  <c:v>-4.3371202358262968</c:v>
                </c:pt>
                <c:pt idx="632">
                  <c:v>-4.3423395694544213</c:v>
                </c:pt>
                <c:pt idx="633">
                  <c:v>-4.347558918266766</c:v>
                </c:pt>
                <c:pt idx="634">
                  <c:v>-4.3527782822628129</c:v>
                </c:pt>
                <c:pt idx="635">
                  <c:v>-4.3579976614420444</c:v>
                </c:pt>
                <c:pt idx="636">
                  <c:v>-4.3632170558039425</c:v>
                </c:pt>
                <c:pt idx="637">
                  <c:v>-4.3684364653479895</c:v>
                </c:pt>
                <c:pt idx="638">
                  <c:v>-4.3736558900736675</c:v>
                </c:pt>
                <c:pt idx="639">
                  <c:v>-4.3788753299804597</c:v>
                </c:pt>
                <c:pt idx="640">
                  <c:v>-4.3840947850678473</c:v>
                </c:pt>
                <c:pt idx="641">
                  <c:v>-4.3893142553353135</c:v>
                </c:pt>
                <c:pt idx="642">
                  <c:v>-4.3945337407823404</c:v>
                </c:pt>
                <c:pt idx="643">
                  <c:v>-4.3997532414084102</c:v>
                </c:pt>
                <c:pt idx="644">
                  <c:v>-4.4049727572130051</c:v>
                </c:pt>
                <c:pt idx="645">
                  <c:v>-4.4101922881956073</c:v>
                </c:pt>
                <c:pt idx="646">
                  <c:v>-4.4154118343556998</c:v>
                </c:pt>
                <c:pt idx="647">
                  <c:v>-4.420631395692765</c:v>
                </c:pt>
                <c:pt idx="648">
                  <c:v>-4.4258509722062849</c:v>
                </c:pt>
                <c:pt idx="649">
                  <c:v>-4.4310705638957426</c:v>
                </c:pt>
                <c:pt idx="650">
                  <c:v>-4.4362901707606204</c:v>
                </c:pt>
                <c:pt idx="651">
                  <c:v>-4.4415097928004004</c:v>
                </c:pt>
                <c:pt idx="652">
                  <c:v>-4.4467294300145648</c:v>
                </c:pt>
                <c:pt idx="653">
                  <c:v>-4.4519490824025967</c:v>
                </c:pt>
                <c:pt idx="654">
                  <c:v>-4.4571687499639783</c:v>
                </c:pt>
                <c:pt idx="655">
                  <c:v>-4.4623884326981926</c:v>
                </c:pt>
                <c:pt idx="656">
                  <c:v>-4.4676081306047211</c:v>
                </c:pt>
                <c:pt idx="657">
                  <c:v>-4.4728278436830475</c:v>
                </c:pt>
                <c:pt idx="658">
                  <c:v>-4.4780475719326542</c:v>
                </c:pt>
                <c:pt idx="659">
                  <c:v>-4.4832673153530234</c:v>
                </c:pt>
                <c:pt idx="660">
                  <c:v>-4.4884870739436371</c:v>
                </c:pt>
                <c:pt idx="661">
                  <c:v>-4.4937068477039794</c:v>
                </c:pt>
                <c:pt idx="662">
                  <c:v>-4.4989266366335317</c:v>
                </c:pt>
                <c:pt idx="663">
                  <c:v>-4.5041464407317768</c:v>
                </c:pt>
                <c:pt idx="664">
                  <c:v>-4.5093662599981981</c:v>
                </c:pt>
                <c:pt idx="665">
                  <c:v>-4.5145860944322775</c:v>
                </c:pt>
                <c:pt idx="666">
                  <c:v>-4.5198059440334983</c:v>
                </c:pt>
                <c:pt idx="667">
                  <c:v>-4.5250258088013426</c:v>
                </c:pt>
                <c:pt idx="668">
                  <c:v>-4.5302456887352935</c:v>
                </c:pt>
                <c:pt idx="669">
                  <c:v>-4.5354655838348332</c:v>
                </c:pt>
                <c:pt idx="670">
                  <c:v>-4.5406854940994457</c:v>
                </c:pt>
                <c:pt idx="671">
                  <c:v>-4.5459054195286122</c:v>
                </c:pt>
                <c:pt idx="672">
                  <c:v>-4.5511253601218167</c:v>
                </c:pt>
                <c:pt idx="673">
                  <c:v>-4.5563453158785414</c:v>
                </c:pt>
                <c:pt idx="674">
                  <c:v>-4.5615652867982686</c:v>
                </c:pt>
                <c:pt idx="675">
                  <c:v>-4.5667852728804821</c:v>
                </c:pt>
                <c:pt idx="676">
                  <c:v>-4.5720052741246642</c:v>
                </c:pt>
                <c:pt idx="677">
                  <c:v>-4.5772252905302979</c:v>
                </c:pt>
                <c:pt idx="678">
                  <c:v>-4.5824453220968655</c:v>
                </c:pt>
                <c:pt idx="679">
                  <c:v>-4.5876653688238509</c:v>
                </c:pt>
                <c:pt idx="680">
                  <c:v>-4.5928854307107363</c:v>
                </c:pt>
                <c:pt idx="681">
                  <c:v>-4.5981055077570048</c:v>
                </c:pt>
                <c:pt idx="682">
                  <c:v>-4.6033255999621394</c:v>
                </c:pt>
                <c:pt idx="683">
                  <c:v>-4.6085457073256224</c:v>
                </c:pt>
                <c:pt idx="684">
                  <c:v>-4.6137658298469377</c:v>
                </c:pt>
                <c:pt idx="685">
                  <c:v>-4.6189859675255676</c:v>
                </c:pt>
                <c:pt idx="686">
                  <c:v>-4.624206120360995</c:v>
                </c:pt>
                <c:pt idx="687">
                  <c:v>-4.6294262883527031</c:v>
                </c:pt>
                <c:pt idx="688">
                  <c:v>-4.6346464715001749</c:v>
                </c:pt>
                <c:pt idx="689">
                  <c:v>-4.6398666698028936</c:v>
                </c:pt>
                <c:pt idx="690">
                  <c:v>-4.6450868832603422</c:v>
                </c:pt>
                <c:pt idx="691">
                  <c:v>-4.650307111872003</c:v>
                </c:pt>
                <c:pt idx="692">
                  <c:v>-4.6555273556373598</c:v>
                </c:pt>
                <c:pt idx="693">
                  <c:v>-4.6607476145558957</c:v>
                </c:pt>
                <c:pt idx="694">
                  <c:v>-4.665967888627093</c:v>
                </c:pt>
                <c:pt idx="695">
                  <c:v>-4.6711881778504356</c:v>
                </c:pt>
                <c:pt idx="696">
                  <c:v>-4.6764084822254066</c:v>
                </c:pt>
                <c:pt idx="697">
                  <c:v>-4.6816288017514891</c:v>
                </c:pt>
                <c:pt idx="698">
                  <c:v>-4.6868491364281661</c:v>
                </c:pt>
                <c:pt idx="699">
                  <c:v>-4.6920694862549199</c:v>
                </c:pt>
                <c:pt idx="700">
                  <c:v>-4.6972898512312344</c:v>
                </c:pt>
                <c:pt idx="701">
                  <c:v>-4.7025102313565936</c:v>
                </c:pt>
                <c:pt idx="702">
                  <c:v>-4.7077306266304797</c:v>
                </c:pt>
                <c:pt idx="703">
                  <c:v>-4.7129510370523757</c:v>
                </c:pt>
                <c:pt idx="704">
                  <c:v>-4.7181714626217657</c:v>
                </c:pt>
                <c:pt idx="705">
                  <c:v>-4.7233919033381326</c:v>
                </c:pt>
                <c:pt idx="706">
                  <c:v>-4.7286123592009588</c:v>
                </c:pt>
                <c:pt idx="707">
                  <c:v>-4.733832830209729</c:v>
                </c:pt>
                <c:pt idx="708">
                  <c:v>-4.7390533163639255</c:v>
                </c:pt>
                <c:pt idx="709">
                  <c:v>-4.7442738176630321</c:v>
                </c:pt>
                <c:pt idx="710">
                  <c:v>-4.7494943341065312</c:v>
                </c:pt>
                <c:pt idx="711">
                  <c:v>-4.7547148656939076</c:v>
                </c:pt>
                <c:pt idx="712">
                  <c:v>-4.7599354124246434</c:v>
                </c:pt>
                <c:pt idx="713">
                  <c:v>-4.7651559742982226</c:v>
                </c:pt>
                <c:pt idx="714">
                  <c:v>-4.7703765513141283</c:v>
                </c:pt>
                <c:pt idx="715">
                  <c:v>-4.7755971434718436</c:v>
                </c:pt>
                <c:pt idx="716">
                  <c:v>-4.7808177507708525</c:v>
                </c:pt>
                <c:pt idx="717">
                  <c:v>-4.786038373210638</c:v>
                </c:pt>
                <c:pt idx="718">
                  <c:v>-4.7912590107906832</c:v>
                </c:pt>
                <c:pt idx="719">
                  <c:v>-4.7964796635104721</c:v>
                </c:pt>
                <c:pt idx="720">
                  <c:v>-4.8017003313694877</c:v>
                </c:pt>
                <c:pt idx="721">
                  <c:v>-4.8069210143672141</c:v>
                </c:pt>
                <c:pt idx="722">
                  <c:v>-4.8121417125031343</c:v>
                </c:pt>
                <c:pt idx="723">
                  <c:v>-4.8173624257767322</c:v>
                </c:pt>
                <c:pt idx="724">
                  <c:v>-4.8225831541874911</c:v>
                </c:pt>
                <c:pt idx="725">
                  <c:v>-4.8278038977348947</c:v>
                </c:pt>
                <c:pt idx="726">
                  <c:v>-4.8330246564184263</c:v>
                </c:pt>
                <c:pt idx="727">
                  <c:v>-4.8382454302375688</c:v>
                </c:pt>
                <c:pt idx="728">
                  <c:v>-4.8434662191918063</c:v>
                </c:pt>
                <c:pt idx="729">
                  <c:v>-4.8486870232806227</c:v>
                </c:pt>
                <c:pt idx="730">
                  <c:v>-4.8539078425035012</c:v>
                </c:pt>
                <c:pt idx="731">
                  <c:v>-4.8591286768599256</c:v>
                </c:pt>
                <c:pt idx="732">
                  <c:v>-4.8643495263493799</c:v>
                </c:pt>
                <c:pt idx="733">
                  <c:v>-4.8695703909713473</c:v>
                </c:pt>
                <c:pt idx="734">
                  <c:v>-4.8747912707253116</c:v>
                </c:pt>
                <c:pt idx="735">
                  <c:v>-4.880012165610756</c:v>
                </c:pt>
                <c:pt idx="736">
                  <c:v>-4.8852330756271645</c:v>
                </c:pt>
                <c:pt idx="737">
                  <c:v>-4.8904540007740209</c:v>
                </c:pt>
                <c:pt idx="738">
                  <c:v>-4.8956749410508085</c:v>
                </c:pt>
                <c:pt idx="739">
                  <c:v>-4.9008958964570111</c:v>
                </c:pt>
                <c:pt idx="740">
                  <c:v>-4.9061168669921127</c:v>
                </c:pt>
                <c:pt idx="741">
                  <c:v>-4.9113378526555973</c:v>
                </c:pt>
                <c:pt idx="742">
                  <c:v>-4.916558853446948</c:v>
                </c:pt>
                <c:pt idx="743">
                  <c:v>-4.9217798693656496</c:v>
                </c:pt>
                <c:pt idx="744">
                  <c:v>-4.9270009004111852</c:v>
                </c:pt>
                <c:pt idx="745">
                  <c:v>-4.9322219465830379</c:v>
                </c:pt>
                <c:pt idx="746">
                  <c:v>-4.9374430078806926</c:v>
                </c:pt>
                <c:pt idx="747">
                  <c:v>-4.9426640843036331</c:v>
                </c:pt>
                <c:pt idx="748">
                  <c:v>-4.9478851758513427</c:v>
                </c:pt>
                <c:pt idx="749">
                  <c:v>-4.9531062825233052</c:v>
                </c:pt>
                <c:pt idx="750">
                  <c:v>-4.9583274043190046</c:v>
                </c:pt>
                <c:pt idx="751">
                  <c:v>-4.963548541237925</c:v>
                </c:pt>
                <c:pt idx="752">
                  <c:v>-4.9687696932795502</c:v>
                </c:pt>
                <c:pt idx="753">
                  <c:v>-4.9739908604433642</c:v>
                </c:pt>
                <c:pt idx="754">
                  <c:v>-4.9792120427288511</c:v>
                </c:pt>
                <c:pt idx="755">
                  <c:v>-4.9844332401354947</c:v>
                </c:pt>
                <c:pt idx="756">
                  <c:v>-4.9896544526627782</c:v>
                </c:pt>
                <c:pt idx="757">
                  <c:v>-4.9948756803101864</c:v>
                </c:pt>
                <c:pt idx="758">
                  <c:v>-5.0000969230772032</c:v>
                </c:pt>
                <c:pt idx="759">
                  <c:v>-5.0053181809633127</c:v>
                </c:pt>
                <c:pt idx="760">
                  <c:v>-5.0105394539679988</c:v>
                </c:pt>
                <c:pt idx="761">
                  <c:v>-5.0157607420907455</c:v>
                </c:pt>
                <c:pt idx="762">
                  <c:v>-5.0209820453310368</c:v>
                </c:pt>
                <c:pt idx="763">
                  <c:v>-5.0262033636883565</c:v>
                </c:pt>
                <c:pt idx="764">
                  <c:v>-5.0314246971621888</c:v>
                </c:pt>
                <c:pt idx="765">
                  <c:v>-5.0366460457520175</c:v>
                </c:pt>
                <c:pt idx="766">
                  <c:v>-5.0418674094573275</c:v>
                </c:pt>
                <c:pt idx="767">
                  <c:v>-5.0470887882776028</c:v>
                </c:pt>
                <c:pt idx="768">
                  <c:v>-5.0523101822123273</c:v>
                </c:pt>
                <c:pt idx="769">
                  <c:v>-5.0575315912609851</c:v>
                </c:pt>
                <c:pt idx="770">
                  <c:v>-5.06275301542306</c:v>
                </c:pt>
                <c:pt idx="771">
                  <c:v>-5.0679744546980361</c:v>
                </c:pt>
                <c:pt idx="772">
                  <c:v>-5.0731959090853982</c:v>
                </c:pt>
                <c:pt idx="773">
                  <c:v>-5.0784173785846303</c:v>
                </c:pt>
                <c:pt idx="774">
                  <c:v>-5.0836388631952163</c:v>
                </c:pt>
                <c:pt idx="775">
                  <c:v>-5.0888603629166411</c:v>
                </c:pt>
                <c:pt idx="776">
                  <c:v>-5.0940818777483887</c:v>
                </c:pt>
                <c:pt idx="777">
                  <c:v>-5.0993034076899431</c:v>
                </c:pt>
                <c:pt idx="778">
                  <c:v>-5.104524952740789</c:v>
                </c:pt>
                <c:pt idx="779">
                  <c:v>-5.1097465129004105</c:v>
                </c:pt>
                <c:pt idx="780">
                  <c:v>-5.1149680881682915</c:v>
                </c:pt>
                <c:pt idx="781">
                  <c:v>-5.120189678543916</c:v>
                </c:pt>
                <c:pt idx="782">
                  <c:v>-5.1254112840267698</c:v>
                </c:pt>
                <c:pt idx="783">
                  <c:v>-5.1306329046163359</c:v>
                </c:pt>
                <c:pt idx="784">
                  <c:v>-5.1358545403120992</c:v>
                </c:pt>
                <c:pt idx="785">
                  <c:v>-5.1410761911135436</c:v>
                </c:pt>
                <c:pt idx="786">
                  <c:v>-5.1462978570201541</c:v>
                </c:pt>
                <c:pt idx="787">
                  <c:v>-5.1515195380314145</c:v>
                </c:pt>
                <c:pt idx="788">
                  <c:v>-5.1567412341468097</c:v>
                </c:pt>
                <c:pt idx="789">
                  <c:v>-5.1619629453658238</c:v>
                </c:pt>
                <c:pt idx="790">
                  <c:v>-5.1671846716879415</c:v>
                </c:pt>
                <c:pt idx="791">
                  <c:v>-5.1724064131126477</c:v>
                </c:pt>
                <c:pt idx="792">
                  <c:v>-5.1776281696394264</c:v>
                </c:pt>
                <c:pt idx="793">
                  <c:v>-5.1828499412677616</c:v>
                </c:pt>
                <c:pt idx="794">
                  <c:v>-5.188071727997138</c:v>
                </c:pt>
                <c:pt idx="795">
                  <c:v>-5.1932935298270406</c:v>
                </c:pt>
                <c:pt idx="796">
                  <c:v>-5.1985153467569534</c:v>
                </c:pt>
                <c:pt idx="797">
                  <c:v>-5.2037371787863611</c:v>
                </c:pt>
                <c:pt idx="798">
                  <c:v>-5.2089590259147487</c:v>
                </c:pt>
                <c:pt idx="799">
                  <c:v>-5.2141808881416001</c:v>
                </c:pt>
                <c:pt idx="800">
                  <c:v>-5.2194027654664001</c:v>
                </c:pt>
                <c:pt idx="801">
                  <c:v>-5.2246246578886337</c:v>
                </c:pt>
                <c:pt idx="802">
                  <c:v>-5.2298465654077848</c:v>
                </c:pt>
                <c:pt idx="803">
                  <c:v>-5.2350684880233382</c:v>
                </c:pt>
                <c:pt idx="804">
                  <c:v>-5.2402904257347789</c:v>
                </c:pt>
                <c:pt idx="805">
                  <c:v>-5.2455123785415916</c:v>
                </c:pt>
                <c:pt idx="806">
                  <c:v>-5.2507343464432603</c:v>
                </c:pt>
                <c:pt idx="807">
                  <c:v>-5.2559563294392708</c:v>
                </c:pt>
                <c:pt idx="808">
                  <c:v>-5.2611783275291071</c:v>
                </c:pt>
                <c:pt idx="809">
                  <c:v>-5.2664003407122539</c:v>
                </c:pt>
                <c:pt idx="810">
                  <c:v>-5.2716223689881954</c:v>
                </c:pt>
                <c:pt idx="811">
                  <c:v>-5.2768444123564171</c:v>
                </c:pt>
                <c:pt idx="812">
                  <c:v>-5.2820664708164031</c:v>
                </c:pt>
                <c:pt idx="813">
                  <c:v>-5.2872885443676392</c:v>
                </c:pt>
                <c:pt idx="814">
                  <c:v>-5.2925106330096092</c:v>
                </c:pt>
                <c:pt idx="815">
                  <c:v>-5.2977327367417981</c:v>
                </c:pt>
                <c:pt idx="816">
                  <c:v>-5.3029548555636907</c:v>
                </c:pt>
                <c:pt idx="817">
                  <c:v>-5.3081769894747719</c:v>
                </c:pt>
                <c:pt idx="818">
                  <c:v>-5.3133991384745274</c:v>
                </c:pt>
                <c:pt idx="819">
                  <c:v>-5.3186213025624411</c:v>
                </c:pt>
                <c:pt idx="820">
                  <c:v>-5.323843481737998</c:v>
                </c:pt>
                <c:pt idx="821">
                  <c:v>-5.3290656760006829</c:v>
                </c:pt>
                <c:pt idx="822">
                  <c:v>-5.3342878853499807</c:v>
                </c:pt>
                <c:pt idx="823">
                  <c:v>-5.3395101097853761</c:v>
                </c:pt>
                <c:pt idx="824">
                  <c:v>-5.3447323493063541</c:v>
                </c:pt>
                <c:pt idx="825">
                  <c:v>-5.3499546039124004</c:v>
                </c:pt>
                <c:pt idx="826">
                  <c:v>-5.355176873602999</c:v>
                </c:pt>
                <c:pt idx="827">
                  <c:v>-5.3603991583776356</c:v>
                </c:pt>
                <c:pt idx="828">
                  <c:v>-5.3656214582357942</c:v>
                </c:pt>
                <c:pt idx="829">
                  <c:v>-5.3708437731769605</c:v>
                </c:pt>
                <c:pt idx="830">
                  <c:v>-5.3760661032006194</c:v>
                </c:pt>
                <c:pt idx="831">
                  <c:v>-5.3812884483062566</c:v>
                </c:pt>
                <c:pt idx="832">
                  <c:v>-5.3865108084933562</c:v>
                </c:pt>
                <c:pt idx="833">
                  <c:v>-5.3917331837614038</c:v>
                </c:pt>
                <c:pt idx="834">
                  <c:v>-5.3969555741098834</c:v>
                </c:pt>
                <c:pt idx="835">
                  <c:v>-5.4021779795382807</c:v>
                </c:pt>
                <c:pt idx="836">
                  <c:v>-5.4074004000460816</c:v>
                </c:pt>
                <c:pt idx="837">
                  <c:v>-5.4126228356327699</c:v>
                </c:pt>
                <c:pt idx="838">
                  <c:v>-5.4178452862978315</c:v>
                </c:pt>
                <c:pt idx="839">
                  <c:v>-5.4230677520407511</c:v>
                </c:pt>
                <c:pt idx="840">
                  <c:v>-5.4282902328610145</c:v>
                </c:pt>
                <c:pt idx="841">
                  <c:v>-5.4335127287581066</c:v>
                </c:pt>
                <c:pt idx="842">
                  <c:v>-5.4387352397315123</c:v>
                </c:pt>
                <c:pt idx="843">
                  <c:v>-5.4439577657807172</c:v>
                </c:pt>
                <c:pt idx="844">
                  <c:v>-5.4491803069052063</c:v>
                </c:pt>
                <c:pt idx="845">
                  <c:v>-5.4544028631044643</c:v>
                </c:pt>
                <c:pt idx="846">
                  <c:v>-5.4596254343779771</c:v>
                </c:pt>
                <c:pt idx="847">
                  <c:v>-5.4648480207252295</c:v>
                </c:pt>
                <c:pt idx="848">
                  <c:v>-5.4700706221457072</c:v>
                </c:pt>
                <c:pt idx="849">
                  <c:v>-5.4752932386388951</c:v>
                </c:pt>
                <c:pt idx="850">
                  <c:v>-5.4805158702042789</c:v>
                </c:pt>
                <c:pt idx="851">
                  <c:v>-5.4857385168413435</c:v>
                </c:pt>
                <c:pt idx="852">
                  <c:v>-5.4909611785495738</c:v>
                </c:pt>
                <c:pt idx="853">
                  <c:v>-5.4961838553284563</c:v>
                </c:pt>
                <c:pt idx="854">
                  <c:v>-5.5014065471774751</c:v>
                </c:pt>
                <c:pt idx="855">
                  <c:v>-5.5066292540961168</c:v>
                </c:pt>
                <c:pt idx="856">
                  <c:v>-5.5118519760838662</c:v>
                </c:pt>
                <c:pt idx="857">
                  <c:v>-5.5170747131402083</c:v>
                </c:pt>
                <c:pt idx="858">
                  <c:v>-5.5222974652646286</c:v>
                </c:pt>
                <c:pt idx="859">
                  <c:v>-5.5275202324566131</c:v>
                </c:pt>
                <c:pt idx="860">
                  <c:v>-5.5327430147156464</c:v>
                </c:pt>
                <c:pt idx="861">
                  <c:v>-5.5379658120412145</c:v>
                </c:pt>
                <c:pt idx="862">
                  <c:v>-5.543188624432803</c:v>
                </c:pt>
                <c:pt idx="863">
                  <c:v>-5.5484114518898968</c:v>
                </c:pt>
                <c:pt idx="864">
                  <c:v>-5.5536342944119816</c:v>
                </c:pt>
                <c:pt idx="865">
                  <c:v>-5.5588571519985432</c:v>
                </c:pt>
                <c:pt idx="866">
                  <c:v>-5.5640800246490674</c:v>
                </c:pt>
                <c:pt idx="867">
                  <c:v>-5.5693029123630389</c:v>
                </c:pt>
                <c:pt idx="868">
                  <c:v>-5.5745258151399435</c:v>
                </c:pt>
                <c:pt idx="869">
                  <c:v>-5.579748732979267</c:v>
                </c:pt>
                <c:pt idx="870">
                  <c:v>-5.5849716658804942</c:v>
                </c:pt>
                <c:pt idx="871">
                  <c:v>-5.5901946138431118</c:v>
                </c:pt>
                <c:pt idx="872">
                  <c:v>-5.5954175768666046</c:v>
                </c:pt>
                <c:pt idx="873">
                  <c:v>-5.6006405549504583</c:v>
                </c:pt>
                <c:pt idx="874">
                  <c:v>-5.6058635480941588</c:v>
                </c:pt>
                <c:pt idx="875">
                  <c:v>-5.6110865562971917</c:v>
                </c:pt>
                <c:pt idx="876">
                  <c:v>-5.6163095795590428</c:v>
                </c:pt>
                <c:pt idx="877">
                  <c:v>-5.6215326178791978</c:v>
                </c:pt>
                <c:pt idx="878">
                  <c:v>-5.6267556712571416</c:v>
                </c:pt>
                <c:pt idx="879">
                  <c:v>-5.6319787396923608</c:v>
                </c:pt>
                <c:pt idx="880">
                  <c:v>-5.6372018231843404</c:v>
                </c:pt>
                <c:pt idx="881">
                  <c:v>-5.6424249217325668</c:v>
                </c:pt>
                <c:pt idx="882">
                  <c:v>-5.647648035336525</c:v>
                </c:pt>
                <c:pt idx="883">
                  <c:v>-5.6528711639957017</c:v>
                </c:pt>
                <c:pt idx="884">
                  <c:v>-5.6580943077095815</c:v>
                </c:pt>
                <c:pt idx="885">
                  <c:v>-5.6633174664776513</c:v>
                </c:pt>
                <c:pt idx="886">
                  <c:v>-5.6685406402993959</c:v>
                </c:pt>
                <c:pt idx="887">
                  <c:v>-5.6737638291743018</c:v>
                </c:pt>
                <c:pt idx="888">
                  <c:v>-5.6789870331018548</c:v>
                </c:pt>
                <c:pt idx="889">
                  <c:v>-5.6842102520815407</c:v>
                </c:pt>
                <c:pt idx="890">
                  <c:v>-5.6894334861128453</c:v>
                </c:pt>
                <c:pt idx="891">
                  <c:v>-5.6946567351952542</c:v>
                </c:pt>
                <c:pt idx="892">
                  <c:v>-5.6998799993282532</c:v>
                </c:pt>
                <c:pt idx="893">
                  <c:v>-5.705103278511328</c:v>
                </c:pt>
                <c:pt idx="894">
                  <c:v>-5.7103265727439654</c:v>
                </c:pt>
                <c:pt idx="895">
                  <c:v>-5.715549882025651</c:v>
                </c:pt>
                <c:pt idx="896">
                  <c:v>-5.7207732063558705</c:v>
                </c:pt>
                <c:pt idx="897">
                  <c:v>-5.7259965457341098</c:v>
                </c:pt>
                <c:pt idx="898">
                  <c:v>-5.7312199001598554</c:v>
                </c:pt>
                <c:pt idx="899">
                  <c:v>-5.7364432696325922</c:v>
                </c:pt>
                <c:pt idx="900">
                  <c:v>-5.7416666541518069</c:v>
                </c:pt>
                <c:pt idx="901">
                  <c:v>-5.746890053716986</c:v>
                </c:pt>
                <c:pt idx="902">
                  <c:v>-5.7521134683276145</c:v>
                </c:pt>
                <c:pt idx="903">
                  <c:v>-5.7573368979831789</c:v>
                </c:pt>
                <c:pt idx="904">
                  <c:v>-5.762560342683166</c:v>
                </c:pt>
                <c:pt idx="905">
                  <c:v>-5.7677838024270605</c:v>
                </c:pt>
                <c:pt idx="906">
                  <c:v>-5.773007277214349</c:v>
                </c:pt>
                <c:pt idx="907">
                  <c:v>-5.7782307670445183</c:v>
                </c:pt>
                <c:pt idx="908">
                  <c:v>-5.7834542719170541</c:v>
                </c:pt>
                <c:pt idx="909">
                  <c:v>-5.788677791831442</c:v>
                </c:pt>
                <c:pt idx="910">
                  <c:v>-5.793901326787168</c:v>
                </c:pt>
                <c:pt idx="911">
                  <c:v>-5.7991248767837194</c:v>
                </c:pt>
                <c:pt idx="912">
                  <c:v>-5.8043484418205811</c:v>
                </c:pt>
                <c:pt idx="913">
                  <c:v>-5.8095720218972398</c:v>
                </c:pt>
                <c:pt idx="914">
                  <c:v>-5.814795617013182</c:v>
                </c:pt>
                <c:pt idx="915">
                  <c:v>-5.8200192271678937</c:v>
                </c:pt>
                <c:pt idx="916">
                  <c:v>-5.8252428523608604</c:v>
                </c:pt>
                <c:pt idx="917">
                  <c:v>-5.8304664925915697</c:v>
                </c:pt>
                <c:pt idx="918">
                  <c:v>-5.8356901478595065</c:v>
                </c:pt>
                <c:pt idx="919">
                  <c:v>-5.8409138181641582</c:v>
                </c:pt>
                <c:pt idx="920">
                  <c:v>-5.8461375035050107</c:v>
                </c:pt>
                <c:pt idx="921">
                  <c:v>-5.8513612038815497</c:v>
                </c:pt>
                <c:pt idx="922">
                  <c:v>-5.8565849192932617</c:v>
                </c:pt>
                <c:pt idx="923">
                  <c:v>-5.8618086497396336</c:v>
                </c:pt>
                <c:pt idx="924">
                  <c:v>-5.8670323952201509</c:v>
                </c:pt>
                <c:pt idx="925">
                  <c:v>-5.8722561557343012</c:v>
                </c:pt>
                <c:pt idx="926">
                  <c:v>-5.8774799312815693</c:v>
                </c:pt>
                <c:pt idx="927">
                  <c:v>-5.8827037218614429</c:v>
                </c:pt>
                <c:pt idx="928">
                  <c:v>-5.8879275274734075</c:v>
                </c:pt>
                <c:pt idx="929">
                  <c:v>-5.89315134811695</c:v>
                </c:pt>
                <c:pt idx="930">
                  <c:v>-5.8983751837915568</c:v>
                </c:pt>
                <c:pt idx="931">
                  <c:v>-5.9035990344967137</c:v>
                </c:pt>
                <c:pt idx="932">
                  <c:v>-5.9088229002319084</c:v>
                </c:pt>
                <c:pt idx="933">
                  <c:v>-5.9140467809966264</c:v>
                </c:pt>
                <c:pt idx="934">
                  <c:v>-5.9192706767903545</c:v>
                </c:pt>
                <c:pt idx="935">
                  <c:v>-5.9244945876125783</c:v>
                </c:pt>
                <c:pt idx="936">
                  <c:v>-5.9297185134627854</c:v>
                </c:pt>
                <c:pt idx="937">
                  <c:v>-5.9349424543404616</c:v>
                </c:pt>
                <c:pt idx="938">
                  <c:v>-5.9401664102450944</c:v>
                </c:pt>
                <c:pt idx="939">
                  <c:v>-5.9453903811761695</c:v>
                </c:pt>
                <c:pt idx="940">
                  <c:v>-5.9506143671331735</c:v>
                </c:pt>
                <c:pt idx="941">
                  <c:v>-5.9558383681155931</c:v>
                </c:pt>
                <c:pt idx="942">
                  <c:v>-5.9610623841229149</c:v>
                </c:pt>
                <c:pt idx="943">
                  <c:v>-5.9662864151546255</c:v>
                </c:pt>
                <c:pt idx="944">
                  <c:v>-5.9715104612102117</c:v>
                </c:pt>
                <c:pt idx="945">
                  <c:v>-5.9767345222891599</c:v>
                </c:pt>
                <c:pt idx="946">
                  <c:v>-5.9819585983909569</c:v>
                </c:pt>
                <c:pt idx="947">
                  <c:v>-5.9871826895150893</c:v>
                </c:pt>
                <c:pt idx="948">
                  <c:v>-5.9924067956610436</c:v>
                </c:pt>
                <c:pt idx="949">
                  <c:v>-5.9976309168283066</c:v>
                </c:pt>
                <c:pt idx="950">
                  <c:v>-6.0028550530163649</c:v>
                </c:pt>
                <c:pt idx="951">
                  <c:v>-6.0080792042247051</c:v>
                </c:pt>
                <c:pt idx="952">
                  <c:v>-6.0133033704528138</c:v>
                </c:pt>
                <c:pt idx="953">
                  <c:v>-6.0185275517001786</c:v>
                </c:pt>
                <c:pt idx="954">
                  <c:v>-6.0237517479662852</c:v>
                </c:pt>
                <c:pt idx="955">
                  <c:v>-6.0289759592506211</c:v>
                </c:pt>
                <c:pt idx="956">
                  <c:v>-6.034200185552673</c:v>
                </c:pt>
                <c:pt idx="957">
                  <c:v>-6.0394244268719275</c:v>
                </c:pt>
                <c:pt idx="958">
                  <c:v>-6.0446486832078712</c:v>
                </c:pt>
                <c:pt idx="959">
                  <c:v>-6.0498729545599916</c:v>
                </c:pt>
                <c:pt idx="960">
                  <c:v>-6.0550972409277746</c:v>
                </c:pt>
                <c:pt idx="961">
                  <c:v>-6.0603215423107075</c:v>
                </c:pt>
                <c:pt idx="962">
                  <c:v>-6.0655458587082771</c:v>
                </c:pt>
                <c:pt idx="963">
                  <c:v>-6.0707701901199709</c:v>
                </c:pt>
                <c:pt idx="964">
                  <c:v>-6.0759945365452754</c:v>
                </c:pt>
                <c:pt idx="965">
                  <c:v>-6.0812188979836774</c:v>
                </c:pt>
                <c:pt idx="966">
                  <c:v>-6.0864432744346635</c:v>
                </c:pt>
                <c:pt idx="967">
                  <c:v>-6.0916676658977211</c:v>
                </c:pt>
                <c:pt idx="968">
                  <c:v>-6.096892072372337</c:v>
                </c:pt>
                <c:pt idx="969">
                  <c:v>-6.1021164938579977</c:v>
                </c:pt>
                <c:pt idx="970">
                  <c:v>-6.1073409303541908</c:v>
                </c:pt>
                <c:pt idx="971">
                  <c:v>-6.1125653818604029</c:v>
                </c:pt>
                <c:pt idx="972">
                  <c:v>-6.1177898483761215</c:v>
                </c:pt>
                <c:pt idx="973">
                  <c:v>-6.1230143299008333</c:v>
                </c:pt>
                <c:pt idx="974">
                  <c:v>-6.1282388264340257</c:v>
                </c:pt>
                <c:pt idx="975">
                  <c:v>-6.1334633379751855</c:v>
                </c:pt>
                <c:pt idx="976">
                  <c:v>-6.1386878645237992</c:v>
                </c:pt>
                <c:pt idx="977">
                  <c:v>-6.1439124060793544</c:v>
                </c:pt>
                <c:pt idx="978">
                  <c:v>-6.1491369626413386</c:v>
                </c:pt>
                <c:pt idx="979">
                  <c:v>-6.1543615342092384</c:v>
                </c:pt>
                <c:pt idx="980">
                  <c:v>-6.1595861207825404</c:v>
                </c:pt>
                <c:pt idx="981">
                  <c:v>-6.1648107223607331</c:v>
                </c:pt>
                <c:pt idx="982">
                  <c:v>-6.1700353389433022</c:v>
                </c:pt>
                <c:pt idx="983">
                  <c:v>-6.1752599705297362</c:v>
                </c:pt>
                <c:pt idx="984">
                  <c:v>-6.1804846171195216</c:v>
                </c:pt>
                <c:pt idx="985">
                  <c:v>-6.185709278712145</c:v>
                </c:pt>
                <c:pt idx="986">
                  <c:v>-6.1909339553070941</c:v>
                </c:pt>
                <c:pt idx="987">
                  <c:v>-6.1961586469038563</c:v>
                </c:pt>
                <c:pt idx="988">
                  <c:v>-6.2013833535019192</c:v>
                </c:pt>
                <c:pt idx="989">
                  <c:v>-6.2066080751007693</c:v>
                </c:pt>
                <c:pt idx="990">
                  <c:v>-6.2118328116998942</c:v>
                </c:pt>
                <c:pt idx="991">
                  <c:v>-6.2170575632987815</c:v>
                </c:pt>
                <c:pt idx="992">
                  <c:v>-6.2222823298969177</c:v>
                </c:pt>
                <c:pt idx="993">
                  <c:v>-6.2275071114937903</c:v>
                </c:pt>
                <c:pt idx="994">
                  <c:v>-6.232731908088887</c:v>
                </c:pt>
                <c:pt idx="995">
                  <c:v>-6.2379567196816952</c:v>
                </c:pt>
                <c:pt idx="996">
                  <c:v>-6.2431815462717015</c:v>
                </c:pt>
                <c:pt idx="997">
                  <c:v>-6.2484063878583935</c:v>
                </c:pt>
                <c:pt idx="998">
                  <c:v>-6.2536312444412596</c:v>
                </c:pt>
                <c:pt idx="999">
                  <c:v>-6.2588561160197864</c:v>
                </c:pt>
                <c:pt idx="1000">
                  <c:v>-6.2640810025934606</c:v>
                </c:pt>
              </c:numCache>
            </c:numRef>
          </c:yVal>
          <c:smooth val="1"/>
          <c:extLst>
            <c:ext xmlns:c16="http://schemas.microsoft.com/office/drawing/2014/chart" uri="{C3380CC4-5D6E-409C-BE32-E72D297353CC}">
              <c16:uniqueId val="{00000002-432A-49A9-9499-7ED3E32DDB07}"/>
            </c:ext>
          </c:extLst>
        </c:ser>
        <c:ser>
          <c:idx val="4"/>
          <c:order val="3"/>
          <c:tx>
            <c:strRef>
              <c:f>Trajecto!$B$110</c:f>
              <c:strCache>
                <c:ptCount val="1"/>
              </c:strCache>
            </c:strRef>
          </c:tx>
          <c:spPr>
            <a:ln w="25400">
              <a:solidFill>
                <a:srgbClr val="FF6600"/>
              </a:solidFill>
              <a:prstDash val="solid"/>
            </a:ln>
          </c:spPr>
          <c:marker>
            <c:symbol val="none"/>
          </c:marker>
          <c:dLbls>
            <c:dLbl>
              <c:idx val="1"/>
              <c:spPr>
                <a:noFill/>
                <a:ln w="25400">
                  <a:noFill/>
                </a:ln>
              </c:spPr>
              <c:txPr>
                <a:bodyPr/>
                <a:lstStyle/>
                <a:p>
                  <a:pPr>
                    <a:defRPr sz="700" b="1" i="0" u="none" strike="noStrike" baseline="0">
                      <a:solidFill>
                        <a:srgbClr val="FF66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32A-49A9-9499-7ED3E32DDB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Trajecto!$B$141:$B$147</c:f>
              <c:numCache>
                <c:formatCode>0</c:formatCode>
                <c:ptCount val="7"/>
                <c:pt idx="0">
                  <c:v>0</c:v>
                </c:pt>
                <c:pt idx="1">
                  <c:v>0</c:v>
                </c:pt>
                <c:pt idx="2">
                  <c:v>0</c:v>
                </c:pt>
                <c:pt idx="3">
                  <c:v>0</c:v>
                </c:pt>
                <c:pt idx="4">
                  <c:v>0</c:v>
                </c:pt>
                <c:pt idx="5">
                  <c:v>0</c:v>
                </c:pt>
                <c:pt idx="6">
                  <c:v>0</c:v>
                </c:pt>
              </c:numCache>
            </c:numRef>
          </c:xVal>
          <c:yVal>
            <c:numRef>
              <c:f>Trajecto!$C$141:$C$147</c:f>
              <c:numCache>
                <c:formatCode>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4-432A-49A9-9499-7ED3E32DDB07}"/>
            </c:ext>
          </c:extLst>
        </c:ser>
        <c:ser>
          <c:idx val="5"/>
          <c:order val="4"/>
          <c:tx>
            <c:strRef>
              <c:f>Trajecto!$B$107</c:f>
              <c:strCache>
                <c:ptCount val="1"/>
                <c:pt idx="0">
                  <c:v>Phase ascendante</c:v>
                </c:pt>
              </c:strCache>
            </c:strRef>
          </c:tx>
          <c:spPr>
            <a:ln w="25400">
              <a:solidFill>
                <a:srgbClr val="000080"/>
              </a:solidFill>
              <a:prstDash val="solid"/>
            </a:ln>
          </c:spPr>
          <c:marker>
            <c:symbol val="none"/>
          </c:marker>
          <c:xVal>
            <c:numRef>
              <c:f>Calculs!$J$4:$J$1004</c:f>
              <c:numCache>
                <c:formatCode>0.00</c:formatCode>
                <c:ptCount val="1001"/>
                <c:pt idx="0">
                  <c:v>0</c:v>
                </c:pt>
                <c:pt idx="1">
                  <c:v>6.7783774822309894E-5</c:v>
                </c:pt>
                <c:pt idx="2">
                  <c:v>8.5917524268844616E-4</c:v>
                </c:pt>
                <c:pt idx="3">
                  <c:v>3.4467856674852354E-3</c:v>
                </c:pt>
                <c:pt idx="4">
                  <c:v>8.4015773779175448E-3</c:v>
                </c:pt>
                <c:pt idx="5">
                  <c:v>1.5807645083408789E-2</c:v>
                </c:pt>
                <c:pt idx="6">
                  <c:v>2.5580948224850325E-2</c:v>
                </c:pt>
                <c:pt idx="7">
                  <c:v>3.7557745617713273E-2</c:v>
                </c:pt>
                <c:pt idx="8">
                  <c:v>5.1631019987200918E-2</c:v>
                </c:pt>
                <c:pt idx="9">
                  <c:v>6.7807859040123555E-2</c:v>
                </c:pt>
                <c:pt idx="10">
                  <c:v>8.6152459782905796E-2</c:v>
                </c:pt>
                <c:pt idx="11">
                  <c:v>0.1067168735863283</c:v>
                </c:pt>
                <c:pt idx="12">
                  <c:v>0.12952886380755788</c:v>
                </c:pt>
                <c:pt idx="13">
                  <c:v>0.15460396180885039</c:v>
                </c:pt>
                <c:pt idx="14">
                  <c:v>0.18195755541462671</c:v>
                </c:pt>
                <c:pt idx="15">
                  <c:v>0.21160488547451356</c:v>
                </c:pt>
                <c:pt idx="16">
                  <c:v>0.24356104243613866</c:v>
                </c:pt>
                <c:pt idx="17">
                  <c:v>0.27784096292963201</c:v>
                </c:pt>
                <c:pt idx="18">
                  <c:v>0.31445942636580693</c:v>
                </c:pt>
                <c:pt idx="19">
                  <c:v>0.35343105155001425</c:v>
                </c:pt>
                <c:pt idx="20">
                  <c:v>0.39477029331368158</c:v>
                </c:pt>
                <c:pt idx="21">
                  <c:v>0.43848951301873451</c:v>
                </c:pt>
                <c:pt idx="22">
                  <c:v>0.48468099402825987</c:v>
                </c:pt>
                <c:pt idx="23">
                  <c:v>0.53343939310839017</c:v>
                </c:pt>
                <c:pt idx="24">
                  <c:v>0.58477960085660852</c:v>
                </c:pt>
                <c:pt idx="25">
                  <c:v>0.63871604002330273</c:v>
                </c:pt>
                <c:pt idx="26">
                  <c:v>0.69526262421254081</c:v>
                </c:pt>
                <c:pt idx="27">
                  <c:v>0.75443278162206173</c:v>
                </c:pt>
                <c:pt idx="28">
                  <c:v>0.81623947575588296</c:v>
                </c:pt>
                <c:pt idx="29">
                  <c:v>0.88069522358435426</c:v>
                </c:pt>
                <c:pt idx="30">
                  <c:v>0.94781211153902278</c:v>
                </c:pt>
                <c:pt idx="31">
                  <c:v>1.0175978200451203</c:v>
                </c:pt>
                <c:pt idx="32">
                  <c:v>1.0900516137417668</c:v>
                </c:pt>
                <c:pt idx="33">
                  <c:v>1.1651683059906524</c:v>
                </c:pt>
                <c:pt idx="34">
                  <c:v>1.242942259135928</c:v>
                </c:pt>
                <c:pt idx="35">
                  <c:v>1.3233674016784351</c:v>
                </c:pt>
                <c:pt idx="36">
                  <c:v>1.4064372441363855</c:v>
                </c:pt>
                <c:pt idx="37">
                  <c:v>1.4921448937634845</c:v>
                </c:pt>
                <c:pt idx="38">
                  <c:v>1.5804830682691837</c:v>
                </c:pt>
                <c:pt idx="39">
                  <c:v>1.671444108664097</c:v>
                </c:pt>
                <c:pt idx="40">
                  <c:v>1.7650199913356814</c:v>
                </c:pt>
                <c:pt idx="41">
                  <c:v>1.8612023394443464</c:v>
                </c:pt>
                <c:pt idx="42">
                  <c:v>1.959982433717635</c:v>
                </c:pt>
                <c:pt idx="43">
                  <c:v>2.0613512227095927</c:v>
                </c:pt>
                <c:pt idx="44">
                  <c:v>2.1652993325835137</c:v>
                </c:pt>
                <c:pt idx="45">
                  <c:v>2.2718170764686896</c:v>
                </c:pt>
                <c:pt idx="46">
                  <c:v>2.3808944634353049</c:v>
                </c:pt>
                <c:pt idx="47">
                  <c:v>2.4925212071260909</c:v>
                </c:pt>
                <c:pt idx="48">
                  <c:v>2.6066867340785747</c:v>
                </c:pt>
                <c:pt idx="49">
                  <c:v>2.7233801917676432</c:v>
                </c:pt>
                <c:pt idx="50">
                  <c:v>2.8425904563945759</c:v>
                </c:pt>
                <c:pt idx="51">
                  <c:v>2.9643061404455926</c:v>
                </c:pt>
                <c:pt idx="52">
                  <c:v>3.0885156000402714</c:v>
                </c:pt>
                <c:pt idx="53">
                  <c:v>3.2152069420878102</c:v>
                </c:pt>
                <c:pt idx="54">
                  <c:v>3.3443680312670514</c:v>
                </c:pt>
                <c:pt idx="55">
                  <c:v>3.475986496844353</c:v>
                </c:pt>
                <c:pt idx="56">
                  <c:v>3.6100497393417927</c:v>
                </c:pt>
                <c:pt idx="57">
                  <c:v>3.7465449370667754</c:v>
                </c:pt>
                <c:pt idx="58">
                  <c:v>3.8854590525128554</c:v>
                </c:pt>
                <c:pt idx="59">
                  <c:v>4.0267788386404799</c:v>
                </c:pt>
                <c:pt idx="60">
                  <c:v>4.1704908450453733</c:v>
                </c:pt>
                <c:pt idx="61">
                  <c:v>4.3165814240213995</c:v>
                </c:pt>
                <c:pt idx="62">
                  <c:v>4.4650367365239658</c:v>
                </c:pt>
                <c:pt idx="63">
                  <c:v>4.6158427580393333</c:v>
                </c:pt>
                <c:pt idx="64">
                  <c:v>4.7689852843645753</c:v>
                </c:pt>
                <c:pt idx="65">
                  <c:v>4.92444993730237</c:v>
                </c:pt>
                <c:pt idx="66">
                  <c:v>5.0822221702743215</c:v>
                </c:pt>
                <c:pt idx="67">
                  <c:v>5.2422872738560526</c:v>
                </c:pt>
                <c:pt idx="68">
                  <c:v>5.4046303812369265</c:v>
                </c:pt>
                <c:pt idx="69">
                  <c:v>5.5692364736068809</c:v>
                </c:pt>
                <c:pt idx="70">
                  <c:v>5.7360903854725596</c:v>
                </c:pt>
                <c:pt idx="71">
                  <c:v>5.9051783570322476</c:v>
                </c:pt>
                <c:pt idx="72">
                  <c:v>6.0764895876737084</c:v>
                </c:pt>
                <c:pt idx="73">
                  <c:v>6.2500146901173643</c:v>
                </c:pt>
                <c:pt idx="74">
                  <c:v>6.4257441425280559</c:v>
                </c:pt>
                <c:pt idx="75">
                  <c:v>6.6036682919666188</c:v>
                </c:pt>
                <c:pt idx="76">
                  <c:v>6.783777357816402</c:v>
                </c:pt>
                <c:pt idx="77">
                  <c:v>6.9660614351851322</c:v>
                </c:pt>
                <c:pt idx="78">
                  <c:v>7.1505104982824435</c:v>
                </c:pt>
                <c:pt idx="79">
                  <c:v>7.3371144037732892</c:v>
                </c:pt>
                <c:pt idx="80">
                  <c:v>7.52586289410739</c:v>
                </c:pt>
                <c:pt idx="81">
                  <c:v>7.7167456008247957</c:v>
                </c:pt>
                <c:pt idx="82">
                  <c:v>7.9097520478375678</c:v>
                </c:pt>
                <c:pt idx="83">
                  <c:v>8.1048716546875461</c:v>
                </c:pt>
                <c:pt idx="84">
                  <c:v>8.3020937397801067</c:v>
                </c:pt>
                <c:pt idx="85">
                  <c:v>8.5014075235937572</c:v>
                </c:pt>
                <c:pt idx="86">
                  <c:v>8.7028021318654165</c:v>
                </c:pt>
                <c:pt idx="87">
                  <c:v>8.9062665987511291</c:v>
                </c:pt>
                <c:pt idx="88">
                  <c:v>9.1116513203264073</c:v>
                </c:pt>
                <c:pt idx="89">
                  <c:v>9.3185297312731397</c:v>
                </c:pt>
                <c:pt idx="90">
                  <c:v>9.5263378369148448</c:v>
                </c:pt>
                <c:pt idx="91">
                  <c:v>9.7346161430481004</c:v>
                </c:pt>
                <c:pt idx="92">
                  <c:v>9.9431120359641305</c:v>
                </c:pt>
                <c:pt idx="93">
                  <c:v>10.151676538979542</c:v>
                </c:pt>
                <c:pt idx="94">
                  <c:v>10.360161318605044</c:v>
                </c:pt>
                <c:pt idx="95">
                  <c:v>10.568418697409548</c:v>
                </c:pt>
                <c:pt idx="96">
                  <c:v>10.776301664225391</c:v>
                </c:pt>
                <c:pt idx="97">
                  <c:v>10.983663881741347</c:v>
                </c:pt>
                <c:pt idx="98">
                  <c:v>11.19039715630325</c:v>
                </c:pt>
                <c:pt idx="99">
                  <c:v>11.396468754293156</c:v>
                </c:pt>
                <c:pt idx="100">
                  <c:v>11.601883570937048</c:v>
                </c:pt>
                <c:pt idx="101">
                  <c:v>11.806646449754231</c:v>
                </c:pt>
                <c:pt idx="102">
                  <c:v>12.010762183289799</c:v>
                </c:pt>
                <c:pt idx="103">
                  <c:v>12.214235513834156</c:v>
                </c:pt>
                <c:pt idx="104">
                  <c:v>12.417071134129881</c:v>
                </c:pt>
                <c:pt idx="105">
                  <c:v>12.619273688066198</c:v>
                </c:pt>
                <c:pt idx="106">
                  <c:v>12.820847771361326</c:v>
                </c:pt>
                <c:pt idx="107">
                  <c:v>13.021797932232934</c:v>
                </c:pt>
                <c:pt idx="108">
                  <c:v>13.222128672056977</c:v>
                </c:pt>
                <c:pt idx="109">
                  <c:v>13.42184444601514</c:v>
                </c:pt>
                <c:pt idx="110">
                  <c:v>13.620949663731121</c:v>
                </c:pt>
                <c:pt idx="111">
                  <c:v>13.819448689896012</c:v>
                </c:pt>
                <c:pt idx="112">
                  <c:v>14.017345844882955</c:v>
                </c:pt>
                <c:pt idx="113">
                  <c:v>14.214645405351339</c:v>
                </c:pt>
                <c:pt idx="114">
                  <c:v>14.411351604840725</c:v>
                </c:pt>
                <c:pt idx="115">
                  <c:v>14.60746863435471</c:v>
                </c:pt>
                <c:pt idx="116">
                  <c:v>14.803000642934951</c:v>
                </c:pt>
                <c:pt idx="117">
                  <c:v>14.99795173822552</c:v>
                </c:pt>
                <c:pt idx="118">
                  <c:v>15.192325987027822</c:v>
                </c:pt>
                <c:pt idx="119">
                  <c:v>15.386127415846216</c:v>
                </c:pt>
                <c:pt idx="120">
                  <c:v>15.579360011424583</c:v>
                </c:pt>
                <c:pt idx="121">
                  <c:v>15.772027721273966</c:v>
                </c:pt>
                <c:pt idx="122">
                  <c:v>15.964134454191505</c:v>
                </c:pt>
                <c:pt idx="123">
                  <c:v>16.155684080770808</c:v>
                </c:pt>
                <c:pt idx="124">
                  <c:v>16.346680433903938</c:v>
                </c:pt>
                <c:pt idx="125">
                  <c:v>16.537127309275196</c:v>
                </c:pt>
                <c:pt idx="126">
                  <c:v>16.727028465846825</c:v>
                </c:pt>
                <c:pt idx="127">
                  <c:v>16.916387626336832</c:v>
                </c:pt>
                <c:pt idx="128">
                  <c:v>17.105208477689061</c:v>
                </c:pt>
                <c:pt idx="129">
                  <c:v>17.293494671535662</c:v>
                </c:pt>
                <c:pt idx="130">
                  <c:v>17.481249824652121</c:v>
                </c:pt>
                <c:pt idx="131">
                  <c:v>17.668477519404981</c:v>
                </c:pt>
                <c:pt idx="132">
                  <c:v>17.855181304192403</c:v>
                </c:pt>
                <c:pt idx="133">
                  <c:v>18.041364693877696</c:v>
                </c:pt>
                <c:pt idx="134">
                  <c:v>18.227031170215959</c:v>
                </c:pt>
                <c:pt idx="135">
                  <c:v>18.41218418227395</c:v>
                </c:pt>
                <c:pt idx="136">
                  <c:v>18.596827146843349</c:v>
                </c:pt>
                <c:pt idx="137">
                  <c:v>18.780963448847483</c:v>
                </c:pt>
                <c:pt idx="138">
                  <c:v>18.964596441741683</c:v>
                </c:pt>
                <c:pt idx="139">
                  <c:v>19.147729447907377</c:v>
                </c:pt>
                <c:pt idx="140">
                  <c:v>19.330365759040035</c:v>
                </c:pt>
                <c:pt idx="141">
                  <c:v>19.512508636531074</c:v>
                </c:pt>
                <c:pt idx="142">
                  <c:v>19.694161311843857</c:v>
                </c:pt>
                <c:pt idx="143">
                  <c:v>19.875326986883877</c:v>
                </c:pt>
                <c:pt idx="144">
                  <c:v>20.056008834363226</c:v>
                </c:pt>
                <c:pt idx="145">
                  <c:v>20.236209998159495</c:v>
                </c:pt>
                <c:pt idx="146">
                  <c:v>20.415933593669152</c:v>
                </c:pt>
                <c:pt idx="147">
                  <c:v>20.595182708155541</c:v>
                </c:pt>
                <c:pt idx="148">
                  <c:v>20.773960401091593</c:v>
                </c:pt>
                <c:pt idx="149">
                  <c:v>20.952269704497326</c:v>
                </c:pt>
                <c:pt idx="150">
                  <c:v>21.130113623272244</c:v>
                </c:pt>
                <c:pt idx="151">
                  <c:v>21.307495135522732</c:v>
                </c:pt>
                <c:pt idx="152">
                  <c:v>21.484417192884528</c:v>
                </c:pt>
                <c:pt idx="153">
                  <c:v>21.660882720840359</c:v>
                </c:pt>
                <c:pt idx="154">
                  <c:v>21.83689461903284</c:v>
                </c:pt>
                <c:pt idx="155">
                  <c:v>22.012455761572703</c:v>
                </c:pt>
                <c:pt idx="156">
                  <c:v>22.187568997342456</c:v>
                </c:pt>
                <c:pt idx="157">
                  <c:v>22.362237150295552</c:v>
                </c:pt>
                <c:pt idx="158">
                  <c:v>22.536463019751128</c:v>
                </c:pt>
                <c:pt idx="159">
                  <c:v>22.71024938068442</c:v>
                </c:pt>
                <c:pt idx="160">
                  <c:v>22.883598984012906</c:v>
                </c:pt>
                <c:pt idx="161">
                  <c:v>23.056514556878273</c:v>
                </c:pt>
                <c:pt idx="162">
                  <c:v>23.228998802924266</c:v>
                </c:pt>
                <c:pt idx="163">
                  <c:v>23.401054402570498</c:v>
                </c:pt>
                <c:pt idx="164">
                  <c:v>23.572684013282288</c:v>
                </c:pt>
                <c:pt idx="165">
                  <c:v>23.743890269836601</c:v>
                </c:pt>
                <c:pt idx="166">
                  <c:v>23.914675784584151</c:v>
                </c:pt>
                <c:pt idx="167">
                  <c:v>24.08504314770774</c:v>
                </c:pt>
                <c:pt idx="168">
                  <c:v>24.254994927476886</c:v>
                </c:pt>
                <c:pt idx="169">
                  <c:v>24.424533670498825</c:v>
                </c:pt>
                <c:pt idx="170">
                  <c:v>24.593661901965934</c:v>
                </c:pt>
                <c:pt idx="171">
                  <c:v>24.76238212589962</c:v>
                </c:pt>
                <c:pt idx="172">
                  <c:v>24.930696825390786</c:v>
                </c:pt>
                <c:pt idx="173">
                  <c:v>25.098608462836872</c:v>
                </c:pt>
                <c:pt idx="174">
                  <c:v>25.266119480175568</c:v>
                </c:pt>
                <c:pt idx="175">
                  <c:v>25.433232299115243</c:v>
                </c:pt>
                <c:pt idx="176">
                  <c:v>25.59994932136215</c:v>
                </c:pt>
                <c:pt idx="177">
                  <c:v>25.766272928844455</c:v>
                </c:pt>
                <c:pt idx="178">
                  <c:v>25.932205483933135</c:v>
                </c:pt>
                <c:pt idx="179">
                  <c:v>26.09774932965983</c:v>
                </c:pt>
                <c:pt idx="180">
                  <c:v>26.262906789931659</c:v>
                </c:pt>
                <c:pt idx="181">
                  <c:v>26.42768016974307</c:v>
                </c:pt>
                <c:pt idx="182">
                  <c:v>26.592071755384794</c:v>
                </c:pt>
                <c:pt idx="183">
                  <c:v>26.756083814649894</c:v>
                </c:pt>
                <c:pt idx="184">
                  <c:v>26.919718597037029</c:v>
                </c:pt>
                <c:pt idx="185">
                  <c:v>27.082978333950905</c:v>
                </c:pt>
                <c:pt idx="186">
                  <c:v>27.245865238900024</c:v>
                </c:pt>
                <c:pt idx="187">
                  <c:v>27.40838150769174</c:v>
                </c:pt>
                <c:pt idx="188">
                  <c:v>27.570529318624658</c:v>
                </c:pt>
                <c:pt idx="189">
                  <c:v>27.732310832678458</c:v>
                </c:pt>
                <c:pt idx="190">
                  <c:v>27.893728193701136</c:v>
                </c:pt>
                <c:pt idx="191">
                  <c:v>28.054783528593756</c:v>
                </c:pt>
                <c:pt idx="192">
                  <c:v>28.215478947492699</c:v>
                </c:pt>
                <c:pt idx="193">
                  <c:v>28.375816543949494</c:v>
                </c:pt>
                <c:pt idx="194">
                  <c:v>28.535798395108259</c:v>
                </c:pt>
                <c:pt idx="195">
                  <c:v>28.695426561880751</c:v>
                </c:pt>
                <c:pt idx="196">
                  <c:v>28.854703089119141</c:v>
                </c:pt>
                <c:pt idx="197">
                  <c:v>29.013630005786464</c:v>
                </c:pt>
                <c:pt idx="198">
                  <c:v>29.172209325124847</c:v>
                </c:pt>
                <c:pt idx="199">
                  <c:v>29.330443044821511</c:v>
                </c:pt>
                <c:pt idx="200">
                  <c:v>29.488333147172604</c:v>
                </c:pt>
                <c:pt idx="201">
                  <c:v>31.04848749392449</c:v>
                </c:pt>
                <c:pt idx="202">
                  <c:v>32.57553464373288</c:v>
                </c:pt>
                <c:pt idx="203">
                  <c:v>34.071323259252196</c:v>
                </c:pt>
                <c:pt idx="204">
                  <c:v>35.537566963385679</c:v>
                </c:pt>
                <c:pt idx="205">
                  <c:v>36.975857604620757</c:v>
                </c:pt>
                <c:pt idx="206">
                  <c:v>38.387676933981773</c:v>
                </c:pt>
                <c:pt idx="207">
                  <c:v>39.774406917533284</c:v>
                </c:pt>
                <c:pt idx="208">
                  <c:v>41.137338872212709</c:v>
                </c:pt>
                <c:pt idx="209">
                  <c:v>42.477681583148744</c:v>
                </c:pt>
                <c:pt idx="210">
                  <c:v>43.796568536228769</c:v>
                </c:pt>
                <c:pt idx="211">
                  <c:v>45.095064379494247</c:v>
                </c:pt>
                <c:pt idx="212">
                  <c:v>46.374170710163888</c:v>
                </c:pt>
                <c:pt idx="213">
                  <c:v>47.634831270073775</c:v>
                </c:pt>
                <c:pt idx="214">
                  <c:v>48.877936620574225</c:v>
                </c:pt>
                <c:pt idx="215">
                  <c:v>50.10432835802861</c:v>
                </c:pt>
                <c:pt idx="216">
                  <c:v>51.314802922692394</c:v>
                </c:pt>
                <c:pt idx="217">
                  <c:v>52.510115046646142</c:v>
                </c:pt>
                <c:pt idx="218">
                  <c:v>53.690980880398854</c:v>
                </c:pt>
                <c:pt idx="219">
                  <c:v>54.858080832591099</c:v>
                </c:pt>
                <c:pt idx="220">
                  <c:v>56.012062152765623</c:v>
                </c:pt>
                <c:pt idx="221">
                  <c:v>57.153541283316727</c:v>
                </c:pt>
                <c:pt idx="222">
                  <c:v>58.283106003377632</c:v>
                </c:pt>
                <c:pt idx="223">
                  <c:v>59.401317384473629</c:v>
                </c:pt>
                <c:pt idx="224">
                  <c:v>60.508711575185956</c:v>
                </c:pt>
                <c:pt idx="225">
                  <c:v>61.60580142977517</c:v>
                </c:pt>
                <c:pt idx="226">
                  <c:v>62.693077993649538</c:v>
                </c:pt>
                <c:pt idx="227">
                  <c:v>63.771011856685185</c:v>
                </c:pt>
                <c:pt idx="228">
                  <c:v>64.840054383665802</c:v>
                </c:pt>
                <c:pt idx="229">
                  <c:v>65.900638829469585</c:v>
                </c:pt>
                <c:pt idx="230">
                  <c:v>66.953181345047909</c:v>
                </c:pt>
                <c:pt idx="231">
                  <c:v>67.998081878674327</c:v>
                </c:pt>
                <c:pt idx="232">
                  <c:v>69.035724975350078</c:v>
                </c:pt>
                <c:pt idx="233">
                  <c:v>70.066480475589657</c:v>
                </c:pt>
                <c:pt idx="234">
                  <c:v>71.090704113029005</c:v>
                </c:pt>
                <c:pt idx="235">
                  <c:v>72.108738008348979</c:v>
                </c:pt>
                <c:pt idx="236">
                  <c:v>73.120911054839269</c:v>
                </c:pt>
                <c:pt idx="237">
                  <c:v>74.127539188496158</c:v>
                </c:pt>
                <c:pt idx="238">
                  <c:v>75.128925532824852</c:v>
                </c:pt>
                <c:pt idx="239">
                  <c:v>76.125360405512041</c:v>
                </c:pt>
                <c:pt idx="240">
                  <c:v>77.117121170930204</c:v>
                </c:pt>
                <c:pt idx="241">
                  <c:v>78.104471919251921</c:v>
                </c:pt>
                <c:pt idx="242">
                  <c:v>79.087662950238965</c:v>
                </c:pt>
                <c:pt idx="243">
                  <c:v>80.066930038349838</c:v>
                </c:pt>
                <c:pt idx="244">
                  <c:v>81.042493457049744</c:v>
                </c:pt>
                <c:pt idx="245">
                  <c:v>82.01455674619838</c:v>
                </c:pt>
                <c:pt idx="246">
                  <c:v>82.983305219986406</c:v>
                </c:pt>
                <c:pt idx="247">
                  <c:v>83.948904237347577</c:v>
                </c:pt>
                <c:pt idx="248">
                  <c:v>84.911497294601872</c:v>
                </c:pt>
                <c:pt idx="249">
                  <c:v>85.871204050734647</c:v>
                </c:pt>
                <c:pt idx="250">
                  <c:v>86.828118452377439</c:v>
                </c:pt>
                <c:pt idx="251">
                  <c:v>87.78230717283499</c:v>
                </c:pt>
                <c:pt idx="252">
                  <c:v>88.73380859540184</c:v>
                </c:pt>
                <c:pt idx="253">
                  <c:v>89.682632536190738</c:v>
                </c:pt>
                <c:pt idx="254">
                  <c:v>90.628760812263451</c:v>
                </c:pt>
                <c:pt idx="255">
                  <c:v>91.5721486378729</c:v>
                </c:pt>
                <c:pt idx="256">
                  <c:v>92.512726713484838</c:v>
                </c:pt>
                <c:pt idx="257">
                  <c:v>93.45040379497209</c:v>
                </c:pt>
                <c:pt idx="258">
                  <c:v>94.385069509443383</c:v>
                </c:pt>
                <c:pt idx="259">
                  <c:v>95.316597211195202</c:v>
                </c:pt>
                <c:pt idx="260">
                  <c:v>96.244846724568077</c:v>
                </c:pt>
                <c:pt idx="261">
                  <c:v>97.169666878545655</c:v>
                </c:pt>
                <c:pt idx="262">
                  <c:v>98.090897787099223</c:v>
                </c:pt>
                <c:pt idx="263">
                  <c:v>99.008372864453619</c:v>
                </c:pt>
                <c:pt idx="264">
                  <c:v>99.921920586209097</c:v>
                </c:pt>
                <c:pt idx="265">
                  <c:v>100.83136601864129</c:v>
                </c:pt>
                <c:pt idx="266">
                  <c:v>101.73653214291689</c:v>
                </c:pt>
                <c:pt idx="267">
                  <c:v>102.6372410012043</c:v>
                </c:pt>
                <c:pt idx="268">
                  <c:v>103.53331468969751</c:v>
                </c:pt>
                <c:pt idx="269">
                  <c:v>104.42457622065822</c:v>
                </c:pt>
                <c:pt idx="270">
                  <c:v>105.31085027244065</c:v>
                </c:pt>
                <c:pt idx="271">
                  <c:v>106.19196384347455</c:v>
                </c:pt>
                <c:pt idx="272">
                  <c:v>107.06774682351917</c:v>
                </c:pt>
                <c:pt idx="273">
                  <c:v>107.93803249321601</c:v>
                </c:pt>
                <c:pt idx="274">
                  <c:v>108.80265796105682</c:v>
                </c:pt>
                <c:pt idx="275">
                  <c:v>109.66146454530747</c:v>
                </c:pt>
                <c:pt idx="276">
                  <c:v>110.51429810714394</c:v>
                </c:pt>
                <c:pt idx="277">
                  <c:v>111.36100934021661</c:v>
                </c:pt>
                <c:pt idx="278">
                  <c:v>112.20145402101986</c:v>
                </c:pt>
                <c:pt idx="279">
                  <c:v>113.03549322377025</c:v>
                </c:pt>
                <c:pt idx="280">
                  <c:v>113.86299350295481</c:v>
                </c:pt>
                <c:pt idx="281">
                  <c:v>114.68382704627641</c:v>
                </c:pt>
                <c:pt idx="282">
                  <c:v>115.49787180037454</c:v>
                </c:pt>
                <c:pt idx="283">
                  <c:v>116.30501157141917</c:v>
                </c:pt>
                <c:pt idx="284">
                  <c:v>117.10513610244914</c:v>
                </c:pt>
                <c:pt idx="285">
                  <c:v>117.89814112914397</c:v>
                </c:pt>
                <c:pt idx="286">
                  <c:v>118.68392841556918</c:v>
                </c:pt>
                <c:pt idx="287">
                  <c:v>119.46240577131387</c:v>
                </c:pt>
                <c:pt idx="288">
                  <c:v>120.23348705133863</c:v>
                </c:pt>
                <c:pt idx="289">
                  <c:v>120.99709213976887</c:v>
                </c:pt>
                <c:pt idx="290">
                  <c:v>121.7531469187975</c:v>
                </c:pt>
                <c:pt idx="291">
                  <c:v>122.50158322380052</c:v>
                </c:pt>
                <c:pt idx="292">
                  <c:v>123.24233878571626</c:v>
                </c:pt>
                <c:pt idx="293">
                  <c:v>123.9753571616916</c:v>
                </c:pt>
                <c:pt idx="294">
                  <c:v>124.70058765495646</c:v>
                </c:pt>
                <c:pt idx="295">
                  <c:v>125.41798522484753</c:v>
                </c:pt>
                <c:pt idx="296">
                  <c:v>126.12751038786602</c:v>
                </c:pt>
                <c:pt idx="297">
                  <c:v>126.8291291106182</c:v>
                </c:pt>
                <c:pt idx="298">
                  <c:v>127.52281269545327</c:v>
                </c:pt>
                <c:pt idx="299">
                  <c:v>128.20853765958009</c:v>
                </c:pt>
                <c:pt idx="300">
                  <c:v>128.88628560841073</c:v>
                </c:pt>
                <c:pt idx="301">
                  <c:v>129.55604310384658</c:v>
                </c:pt>
                <c:pt idx="302">
                  <c:v>130.21780152819008</c:v>
                </c:pt>
                <c:pt idx="303">
                  <c:v>130.87155694433329</c:v>
                </c:pt>
                <c:pt idx="304">
                  <c:v>131.51730995284191</c:v>
                </c:pt>
                <c:pt idx="305">
                  <c:v>132.15506554652171</c:v>
                </c:pt>
                <c:pt idx="306">
                  <c:v>132.78483296302267</c:v>
                </c:pt>
                <c:pt idx="307">
                  <c:v>133.40662553600441</c:v>
                </c:pt>
                <c:pt idx="308">
                  <c:v>134.02046054535552</c:v>
                </c:pt>
                <c:pt idx="309">
                  <c:v>134.62635906692876</c:v>
                </c:pt>
                <c:pt idx="310">
                  <c:v>135.22434582222334</c:v>
                </c:pt>
                <c:pt idx="311">
                  <c:v>135.81444902841665</c:v>
                </c:pt>
                <c:pt idx="312">
                  <c:v>136.39670024911769</c:v>
                </c:pt>
                <c:pt idx="313">
                  <c:v>136.97113424618701</c:v>
                </c:pt>
                <c:pt idx="314">
                  <c:v>137.53778883293995</c:v>
                </c:pt>
                <c:pt idx="315">
                  <c:v>138.09670472902309</c:v>
                </c:pt>
                <c:pt idx="316">
                  <c:v>138.64792541722832</c:v>
                </c:pt>
                <c:pt idx="317">
                  <c:v>139.19149700248391</c:v>
                </c:pt>
                <c:pt idx="318">
                  <c:v>139.72746807323767</c:v>
                </c:pt>
                <c:pt idx="319">
                  <c:v>140.25588956542478</c:v>
                </c:pt>
                <c:pt idx="320">
                  <c:v>140.77681462919094</c:v>
                </c:pt>
                <c:pt idx="321">
                  <c:v>141.29029849852014</c:v>
                </c:pt>
                <c:pt idx="322">
                  <c:v>141.79639836389723</c:v>
                </c:pt>
                <c:pt idx="323">
                  <c:v>142.29517324811601</c:v>
                </c:pt>
                <c:pt idx="324">
                  <c:v>142.78668388532674</c:v>
                </c:pt>
                <c:pt idx="325">
                  <c:v>143.27099260339915</c:v>
                </c:pt>
                <c:pt idx="326">
                  <c:v>143.74816320966289</c:v>
                </c:pt>
                <c:pt idx="327">
                  <c:v>144.21826088007137</c:v>
                </c:pt>
                <c:pt idx="328">
                  <c:v>144.68135205182233</c:v>
                </c:pt>
                <c:pt idx="329">
                  <c:v>145.13750431945556</c:v>
                </c:pt>
                <c:pt idx="330">
                  <c:v>145.58678633443645</c:v>
                </c:pt>
                <c:pt idx="331">
                  <c:v>146.02926770822333</c:v>
                </c:pt>
                <c:pt idx="332">
                  <c:v>146.46501891880703</c:v>
                </c:pt>
                <c:pt idx="333">
                  <c:v>146.89411122070152</c:v>
                </c:pt>
                <c:pt idx="334">
                  <c:v>147.31661655835691</c:v>
                </c:pt>
                <c:pt idx="335">
                  <c:v>147.73260748295814</c:v>
                </c:pt>
                <c:pt idx="336">
                  <c:v>148.14215707256645</c:v>
                </c:pt>
                <c:pt idx="337">
                  <c:v>148.54533885555432</c:v>
                </c:pt>
                <c:pt idx="338">
                  <c:v>148.94222673727998</c:v>
                </c:pt>
                <c:pt idx="339">
                  <c:v>149.33289492994172</c:v>
                </c:pt>
                <c:pt idx="340">
                  <c:v>149.71741788554954</c:v>
                </c:pt>
                <c:pt idx="341">
                  <c:v>150.09587023194715</c:v>
                </c:pt>
                <c:pt idx="342">
                  <c:v>150.09587023194715</c:v>
                </c:pt>
                <c:pt idx="343">
                  <c:v>150.09587023194715</c:v>
                </c:pt>
                <c:pt idx="344">
                  <c:v>150.09587023194715</c:v>
                </c:pt>
                <c:pt idx="345">
                  <c:v>150.09587023194715</c:v>
                </c:pt>
                <c:pt idx="346">
                  <c:v>150.09587023194715</c:v>
                </c:pt>
                <c:pt idx="347">
                  <c:v>150.09587023194715</c:v>
                </c:pt>
                <c:pt idx="348">
                  <c:v>150.09587023194715</c:v>
                </c:pt>
                <c:pt idx="349">
                  <c:v>150.09587023194715</c:v>
                </c:pt>
                <c:pt idx="350">
                  <c:v>150.09587023194715</c:v>
                </c:pt>
                <c:pt idx="351">
                  <c:v>150.09587023194715</c:v>
                </c:pt>
                <c:pt idx="352">
                  <c:v>150.09587023194715</c:v>
                </c:pt>
                <c:pt idx="353">
                  <c:v>150.09587023194715</c:v>
                </c:pt>
                <c:pt idx="354">
                  <c:v>150.09587023194715</c:v>
                </c:pt>
                <c:pt idx="355">
                  <c:v>150.09587023194715</c:v>
                </c:pt>
                <c:pt idx="356">
                  <c:v>150.09587023194715</c:v>
                </c:pt>
                <c:pt idx="357">
                  <c:v>150.09587023194715</c:v>
                </c:pt>
                <c:pt idx="358">
                  <c:v>150.09587023194715</c:v>
                </c:pt>
                <c:pt idx="359">
                  <c:v>150.09587023194715</c:v>
                </c:pt>
                <c:pt idx="360">
                  <c:v>150.09587023194715</c:v>
                </c:pt>
                <c:pt idx="361">
                  <c:v>150.09587023194715</c:v>
                </c:pt>
                <c:pt idx="362">
                  <c:v>150.09587023194715</c:v>
                </c:pt>
                <c:pt idx="363">
                  <c:v>150.09587023194715</c:v>
                </c:pt>
                <c:pt idx="364">
                  <c:v>150.09587023194715</c:v>
                </c:pt>
                <c:pt idx="365">
                  <c:v>150.09587023194715</c:v>
                </c:pt>
                <c:pt idx="366">
                  <c:v>150.09587023194715</c:v>
                </c:pt>
                <c:pt idx="367">
                  <c:v>150.09587023194715</c:v>
                </c:pt>
                <c:pt idx="368">
                  <c:v>150.09587023194715</c:v>
                </c:pt>
                <c:pt idx="369">
                  <c:v>150.09587023194715</c:v>
                </c:pt>
                <c:pt idx="370">
                  <c:v>150.09587023194715</c:v>
                </c:pt>
                <c:pt idx="371">
                  <c:v>150.09587023194715</c:v>
                </c:pt>
                <c:pt idx="372">
                  <c:v>150.09587023194715</c:v>
                </c:pt>
                <c:pt idx="373">
                  <c:v>150.09587023194715</c:v>
                </c:pt>
                <c:pt idx="374">
                  <c:v>150.09587023194715</c:v>
                </c:pt>
                <c:pt idx="375">
                  <c:v>150.09587023194715</c:v>
                </c:pt>
                <c:pt idx="376">
                  <c:v>150.09587023194715</c:v>
                </c:pt>
                <c:pt idx="377">
                  <c:v>150.09587023194715</c:v>
                </c:pt>
                <c:pt idx="378">
                  <c:v>150.09587023194715</c:v>
                </c:pt>
                <c:pt idx="379">
                  <c:v>150.09587023194715</c:v>
                </c:pt>
                <c:pt idx="380">
                  <c:v>150.09587023194715</c:v>
                </c:pt>
                <c:pt idx="381">
                  <c:v>150.09587023194715</c:v>
                </c:pt>
                <c:pt idx="382">
                  <c:v>150.09587023194715</c:v>
                </c:pt>
                <c:pt idx="383">
                  <c:v>150.09587023194715</c:v>
                </c:pt>
                <c:pt idx="384">
                  <c:v>150.09587023194715</c:v>
                </c:pt>
                <c:pt idx="385">
                  <c:v>150.09587023194715</c:v>
                </c:pt>
                <c:pt idx="386">
                  <c:v>150.09587023194715</c:v>
                </c:pt>
                <c:pt idx="387">
                  <c:v>150.09587023194715</c:v>
                </c:pt>
                <c:pt idx="388">
                  <c:v>150.09587023194715</c:v>
                </c:pt>
                <c:pt idx="389">
                  <c:v>150.09587023194715</c:v>
                </c:pt>
                <c:pt idx="390">
                  <c:v>150.09587023194715</c:v>
                </c:pt>
                <c:pt idx="391">
                  <c:v>150.09587023194715</c:v>
                </c:pt>
                <c:pt idx="392">
                  <c:v>150.09587023194715</c:v>
                </c:pt>
                <c:pt idx="393">
                  <c:v>150.09587023194715</c:v>
                </c:pt>
                <c:pt idx="394">
                  <c:v>150.09587023194715</c:v>
                </c:pt>
                <c:pt idx="395">
                  <c:v>150.09587023194715</c:v>
                </c:pt>
                <c:pt idx="396">
                  <c:v>150.09587023194715</c:v>
                </c:pt>
                <c:pt idx="397">
                  <c:v>150.09587023194715</c:v>
                </c:pt>
                <c:pt idx="398">
                  <c:v>150.09587023194715</c:v>
                </c:pt>
                <c:pt idx="399">
                  <c:v>150.09587023194715</c:v>
                </c:pt>
                <c:pt idx="400">
                  <c:v>150.09587023194715</c:v>
                </c:pt>
                <c:pt idx="401">
                  <c:v>150.09587023194715</c:v>
                </c:pt>
                <c:pt idx="402">
                  <c:v>150.09587023194715</c:v>
                </c:pt>
                <c:pt idx="403">
                  <c:v>150.09587023194715</c:v>
                </c:pt>
                <c:pt idx="404">
                  <c:v>150.09587023194715</c:v>
                </c:pt>
                <c:pt idx="405">
                  <c:v>150.09587023194715</c:v>
                </c:pt>
                <c:pt idx="406">
                  <c:v>150.09587023194715</c:v>
                </c:pt>
                <c:pt idx="407">
                  <c:v>150.09587023194715</c:v>
                </c:pt>
                <c:pt idx="408">
                  <c:v>150.09587023194715</c:v>
                </c:pt>
                <c:pt idx="409">
                  <c:v>150.09587023194715</c:v>
                </c:pt>
                <c:pt idx="410">
                  <c:v>150.09587023194715</c:v>
                </c:pt>
                <c:pt idx="411">
                  <c:v>150.09587023194715</c:v>
                </c:pt>
                <c:pt idx="412">
                  <c:v>150.09587023194715</c:v>
                </c:pt>
                <c:pt idx="413">
                  <c:v>150.09587023194715</c:v>
                </c:pt>
                <c:pt idx="414">
                  <c:v>150.09587023194715</c:v>
                </c:pt>
                <c:pt idx="415">
                  <c:v>150.09587023194715</c:v>
                </c:pt>
                <c:pt idx="416">
                  <c:v>150.09587023194715</c:v>
                </c:pt>
                <c:pt idx="417">
                  <c:v>150.09587023194715</c:v>
                </c:pt>
                <c:pt idx="418">
                  <c:v>150.09587023194715</c:v>
                </c:pt>
                <c:pt idx="419">
                  <c:v>150.09587023194715</c:v>
                </c:pt>
                <c:pt idx="420">
                  <c:v>150.09587023194715</c:v>
                </c:pt>
                <c:pt idx="421">
                  <c:v>150.09587023194715</c:v>
                </c:pt>
                <c:pt idx="422">
                  <c:v>150.09587023194715</c:v>
                </c:pt>
                <c:pt idx="423">
                  <c:v>150.09587023194715</c:v>
                </c:pt>
                <c:pt idx="424">
                  <c:v>150.09587023194715</c:v>
                </c:pt>
                <c:pt idx="425">
                  <c:v>150.09587023194715</c:v>
                </c:pt>
                <c:pt idx="426">
                  <c:v>150.09587023194715</c:v>
                </c:pt>
                <c:pt idx="427">
                  <c:v>150.09587023194715</c:v>
                </c:pt>
                <c:pt idx="428">
                  <c:v>150.09587023194715</c:v>
                </c:pt>
                <c:pt idx="429">
                  <c:v>150.09587023194715</c:v>
                </c:pt>
                <c:pt idx="430">
                  <c:v>150.09587023194715</c:v>
                </c:pt>
                <c:pt idx="431">
                  <c:v>150.09587023194715</c:v>
                </c:pt>
                <c:pt idx="432">
                  <c:v>150.09587023194715</c:v>
                </c:pt>
                <c:pt idx="433">
                  <c:v>150.09587023194715</c:v>
                </c:pt>
                <c:pt idx="434">
                  <c:v>150.09587023194715</c:v>
                </c:pt>
                <c:pt idx="435">
                  <c:v>150.09587023194715</c:v>
                </c:pt>
                <c:pt idx="436">
                  <c:v>150.09587023194715</c:v>
                </c:pt>
                <c:pt idx="437">
                  <c:v>150.09587023194715</c:v>
                </c:pt>
                <c:pt idx="438">
                  <c:v>150.09587023194715</c:v>
                </c:pt>
                <c:pt idx="439">
                  <c:v>150.09587023194715</c:v>
                </c:pt>
                <c:pt idx="440">
                  <c:v>150.09587023194715</c:v>
                </c:pt>
                <c:pt idx="441">
                  <c:v>150.09587023194715</c:v>
                </c:pt>
                <c:pt idx="442">
                  <c:v>150.09587023194715</c:v>
                </c:pt>
                <c:pt idx="443">
                  <c:v>150.09587023194715</c:v>
                </c:pt>
                <c:pt idx="444">
                  <c:v>150.09587023194715</c:v>
                </c:pt>
                <c:pt idx="445">
                  <c:v>150.09587023194715</c:v>
                </c:pt>
                <c:pt idx="446">
                  <c:v>150.09587023194715</c:v>
                </c:pt>
                <c:pt idx="447">
                  <c:v>150.09587023194715</c:v>
                </c:pt>
                <c:pt idx="448">
                  <c:v>150.09587023194715</c:v>
                </c:pt>
                <c:pt idx="449">
                  <c:v>150.09587023194715</c:v>
                </c:pt>
                <c:pt idx="450">
                  <c:v>150.09587023194715</c:v>
                </c:pt>
                <c:pt idx="451">
                  <c:v>150.09587023194715</c:v>
                </c:pt>
                <c:pt idx="452">
                  <c:v>150.09587023194715</c:v>
                </c:pt>
                <c:pt idx="453">
                  <c:v>150.09587023194715</c:v>
                </c:pt>
                <c:pt idx="454">
                  <c:v>150.09587023194715</c:v>
                </c:pt>
                <c:pt idx="455">
                  <c:v>150.09587023194715</c:v>
                </c:pt>
                <c:pt idx="456">
                  <c:v>150.09587023194715</c:v>
                </c:pt>
                <c:pt idx="457">
                  <c:v>150.09587023194715</c:v>
                </c:pt>
                <c:pt idx="458">
                  <c:v>150.09587023194715</c:v>
                </c:pt>
                <c:pt idx="459">
                  <c:v>150.09587023194715</c:v>
                </c:pt>
                <c:pt idx="460">
                  <c:v>150.09587023194715</c:v>
                </c:pt>
                <c:pt idx="461">
                  <c:v>150.09587023194715</c:v>
                </c:pt>
                <c:pt idx="462">
                  <c:v>150.09587023194715</c:v>
                </c:pt>
                <c:pt idx="463">
                  <c:v>150.09587023194715</c:v>
                </c:pt>
                <c:pt idx="464">
                  <c:v>150.09587023194715</c:v>
                </c:pt>
                <c:pt idx="465">
                  <c:v>150.09587023194715</c:v>
                </c:pt>
                <c:pt idx="466">
                  <c:v>150.09587023194715</c:v>
                </c:pt>
                <c:pt idx="467">
                  <c:v>150.09587023194715</c:v>
                </c:pt>
                <c:pt idx="468">
                  <c:v>150.09587023194715</c:v>
                </c:pt>
                <c:pt idx="469">
                  <c:v>150.09587023194715</c:v>
                </c:pt>
                <c:pt idx="470">
                  <c:v>150.09587023194715</c:v>
                </c:pt>
                <c:pt idx="471">
                  <c:v>150.09587023194715</c:v>
                </c:pt>
                <c:pt idx="472">
                  <c:v>150.09587023194715</c:v>
                </c:pt>
                <c:pt idx="473">
                  <c:v>150.09587023194715</c:v>
                </c:pt>
                <c:pt idx="474">
                  <c:v>150.09587023194715</c:v>
                </c:pt>
                <c:pt idx="475">
                  <c:v>150.09587023194715</c:v>
                </c:pt>
                <c:pt idx="476">
                  <c:v>150.09587023194715</c:v>
                </c:pt>
                <c:pt idx="477">
                  <c:v>150.09587023194715</c:v>
                </c:pt>
                <c:pt idx="478">
                  <c:v>150.09587023194715</c:v>
                </c:pt>
                <c:pt idx="479">
                  <c:v>150.09587023194715</c:v>
                </c:pt>
                <c:pt idx="480">
                  <c:v>150.09587023194715</c:v>
                </c:pt>
                <c:pt idx="481">
                  <c:v>150.09587023194715</c:v>
                </c:pt>
                <c:pt idx="482">
                  <c:v>150.09587023194715</c:v>
                </c:pt>
                <c:pt idx="483">
                  <c:v>150.09587023194715</c:v>
                </c:pt>
                <c:pt idx="484">
                  <c:v>150.09587023194715</c:v>
                </c:pt>
                <c:pt idx="485">
                  <c:v>150.09587023194715</c:v>
                </c:pt>
                <c:pt idx="486">
                  <c:v>150.09587023194715</c:v>
                </c:pt>
                <c:pt idx="487">
                  <c:v>150.09587023194715</c:v>
                </c:pt>
                <c:pt idx="488">
                  <c:v>150.09587023194715</c:v>
                </c:pt>
                <c:pt idx="489">
                  <c:v>150.09587023194715</c:v>
                </c:pt>
                <c:pt idx="490">
                  <c:v>150.09587023194715</c:v>
                </c:pt>
                <c:pt idx="491">
                  <c:v>150.09587023194715</c:v>
                </c:pt>
                <c:pt idx="492">
                  <c:v>150.09587023194715</c:v>
                </c:pt>
                <c:pt idx="493">
                  <c:v>150.09587023194715</c:v>
                </c:pt>
                <c:pt idx="494">
                  <c:v>150.09587023194715</c:v>
                </c:pt>
                <c:pt idx="495">
                  <c:v>150.09587023194715</c:v>
                </c:pt>
                <c:pt idx="496">
                  <c:v>150.09587023194715</c:v>
                </c:pt>
                <c:pt idx="497">
                  <c:v>150.09587023194715</c:v>
                </c:pt>
                <c:pt idx="498">
                  <c:v>150.09587023194715</c:v>
                </c:pt>
                <c:pt idx="499">
                  <c:v>150.09587023194715</c:v>
                </c:pt>
                <c:pt idx="500">
                  <c:v>150.09587023194715</c:v>
                </c:pt>
                <c:pt idx="501">
                  <c:v>150.09587023194715</c:v>
                </c:pt>
                <c:pt idx="502">
                  <c:v>150.09587023194715</c:v>
                </c:pt>
                <c:pt idx="503">
                  <c:v>150.09587023194715</c:v>
                </c:pt>
                <c:pt idx="504">
                  <c:v>150.09587023194715</c:v>
                </c:pt>
                <c:pt idx="505">
                  <c:v>150.09587023194715</c:v>
                </c:pt>
                <c:pt idx="506">
                  <c:v>150.09587023194715</c:v>
                </c:pt>
                <c:pt idx="507">
                  <c:v>150.09587023194715</c:v>
                </c:pt>
                <c:pt idx="508">
                  <c:v>150.09587023194715</c:v>
                </c:pt>
                <c:pt idx="509">
                  <c:v>150.09587023194715</c:v>
                </c:pt>
                <c:pt idx="510">
                  <c:v>150.09587023194715</c:v>
                </c:pt>
                <c:pt idx="511">
                  <c:v>150.09587023194715</c:v>
                </c:pt>
                <c:pt idx="512">
                  <c:v>150.09587023194715</c:v>
                </c:pt>
                <c:pt idx="513">
                  <c:v>150.09587023194715</c:v>
                </c:pt>
                <c:pt idx="514">
                  <c:v>150.09587023194715</c:v>
                </c:pt>
                <c:pt idx="515">
                  <c:v>150.09587023194715</c:v>
                </c:pt>
                <c:pt idx="516">
                  <c:v>150.09587023194715</c:v>
                </c:pt>
                <c:pt idx="517">
                  <c:v>150.09587023194715</c:v>
                </c:pt>
                <c:pt idx="518">
                  <c:v>150.09587023194715</c:v>
                </c:pt>
                <c:pt idx="519">
                  <c:v>150.09587023194715</c:v>
                </c:pt>
                <c:pt idx="520">
                  <c:v>150.09587023194715</c:v>
                </c:pt>
                <c:pt idx="521">
                  <c:v>150.09587023194715</c:v>
                </c:pt>
                <c:pt idx="522">
                  <c:v>150.09587023194715</c:v>
                </c:pt>
                <c:pt idx="523">
                  <c:v>150.09587023194715</c:v>
                </c:pt>
                <c:pt idx="524">
                  <c:v>150.09587023194715</c:v>
                </c:pt>
                <c:pt idx="525">
                  <c:v>150.09587023194715</c:v>
                </c:pt>
                <c:pt idx="526">
                  <c:v>150.09587023194715</c:v>
                </c:pt>
                <c:pt idx="527">
                  <c:v>150.09587023194715</c:v>
                </c:pt>
                <c:pt idx="528">
                  <c:v>150.09587023194715</c:v>
                </c:pt>
                <c:pt idx="529">
                  <c:v>150.09587023194715</c:v>
                </c:pt>
                <c:pt idx="530">
                  <c:v>150.09587023194715</c:v>
                </c:pt>
                <c:pt idx="531">
                  <c:v>150.09587023194715</c:v>
                </c:pt>
                <c:pt idx="532">
                  <c:v>150.09587023194715</c:v>
                </c:pt>
                <c:pt idx="533">
                  <c:v>150.09587023194715</c:v>
                </c:pt>
                <c:pt idx="534">
                  <c:v>150.09587023194715</c:v>
                </c:pt>
                <c:pt idx="535">
                  <c:v>150.09587023194715</c:v>
                </c:pt>
                <c:pt idx="536">
                  <c:v>150.09587023194715</c:v>
                </c:pt>
                <c:pt idx="537">
                  <c:v>150.09587023194715</c:v>
                </c:pt>
                <c:pt idx="538">
                  <c:v>150.09587023194715</c:v>
                </c:pt>
                <c:pt idx="539">
                  <c:v>150.09587023194715</c:v>
                </c:pt>
                <c:pt idx="540">
                  <c:v>150.09587023194715</c:v>
                </c:pt>
                <c:pt idx="541">
                  <c:v>150.09587023194715</c:v>
                </c:pt>
                <c:pt idx="542">
                  <c:v>150.09587023194715</c:v>
                </c:pt>
                <c:pt idx="543">
                  <c:v>150.09587023194715</c:v>
                </c:pt>
                <c:pt idx="544">
                  <c:v>150.09587023194715</c:v>
                </c:pt>
                <c:pt idx="545">
                  <c:v>150.09587023194715</c:v>
                </c:pt>
                <c:pt idx="546">
                  <c:v>150.09587023194715</c:v>
                </c:pt>
                <c:pt idx="547">
                  <c:v>150.09587023194715</c:v>
                </c:pt>
                <c:pt idx="548">
                  <c:v>150.09587023194715</c:v>
                </c:pt>
                <c:pt idx="549">
                  <c:v>150.09587023194715</c:v>
                </c:pt>
                <c:pt idx="550">
                  <c:v>150.09587023194715</c:v>
                </c:pt>
                <c:pt idx="551">
                  <c:v>150.09587023194715</c:v>
                </c:pt>
                <c:pt idx="552">
                  <c:v>150.09587023194715</c:v>
                </c:pt>
                <c:pt idx="553">
                  <c:v>150.09587023194715</c:v>
                </c:pt>
                <c:pt idx="554">
                  <c:v>150.09587023194715</c:v>
                </c:pt>
                <c:pt idx="555">
                  <c:v>150.09587023194715</c:v>
                </c:pt>
                <c:pt idx="556">
                  <c:v>150.09587023194715</c:v>
                </c:pt>
                <c:pt idx="557">
                  <c:v>150.09587023194715</c:v>
                </c:pt>
                <c:pt idx="558">
                  <c:v>150.09587023194715</c:v>
                </c:pt>
                <c:pt idx="559">
                  <c:v>150.09587023194715</c:v>
                </c:pt>
                <c:pt idx="560">
                  <c:v>150.09587023194715</c:v>
                </c:pt>
                <c:pt idx="561">
                  <c:v>150.09587023194715</c:v>
                </c:pt>
                <c:pt idx="562">
                  <c:v>150.09587023194715</c:v>
                </c:pt>
                <c:pt idx="563">
                  <c:v>150.09587023194715</c:v>
                </c:pt>
                <c:pt idx="564">
                  <c:v>150.09587023194715</c:v>
                </c:pt>
                <c:pt idx="565">
                  <c:v>150.09587023194715</c:v>
                </c:pt>
                <c:pt idx="566">
                  <c:v>150.09587023194715</c:v>
                </c:pt>
                <c:pt idx="567">
                  <c:v>150.09587023194715</c:v>
                </c:pt>
                <c:pt idx="568">
                  <c:v>150.09587023194715</c:v>
                </c:pt>
                <c:pt idx="569">
                  <c:v>150.09587023194715</c:v>
                </c:pt>
                <c:pt idx="570">
                  <c:v>150.09587023194715</c:v>
                </c:pt>
                <c:pt idx="571">
                  <c:v>150.09587023194715</c:v>
                </c:pt>
                <c:pt idx="572">
                  <c:v>150.09587023194715</c:v>
                </c:pt>
                <c:pt idx="573">
                  <c:v>150.09587023194715</c:v>
                </c:pt>
                <c:pt idx="574">
                  <c:v>150.09587023194715</c:v>
                </c:pt>
                <c:pt idx="575">
                  <c:v>150.09587023194715</c:v>
                </c:pt>
                <c:pt idx="576">
                  <c:v>150.09587023194715</c:v>
                </c:pt>
                <c:pt idx="577">
                  <c:v>150.09587023194715</c:v>
                </c:pt>
                <c:pt idx="578">
                  <c:v>150.09587023194715</c:v>
                </c:pt>
                <c:pt idx="579">
                  <c:v>150.09587023194715</c:v>
                </c:pt>
                <c:pt idx="580">
                  <c:v>150.09587023194715</c:v>
                </c:pt>
                <c:pt idx="581">
                  <c:v>150.09587023194715</c:v>
                </c:pt>
                <c:pt idx="582">
                  <c:v>150.09587023194715</c:v>
                </c:pt>
                <c:pt idx="583">
                  <c:v>150.09587023194715</c:v>
                </c:pt>
                <c:pt idx="584">
                  <c:v>150.09587023194715</c:v>
                </c:pt>
                <c:pt idx="585">
                  <c:v>150.09587023194715</c:v>
                </c:pt>
                <c:pt idx="586">
                  <c:v>150.09587023194715</c:v>
                </c:pt>
                <c:pt idx="587">
                  <c:v>150.09587023194715</c:v>
                </c:pt>
                <c:pt idx="588">
                  <c:v>150.09587023194715</c:v>
                </c:pt>
                <c:pt idx="589">
                  <c:v>150.09587023194715</c:v>
                </c:pt>
                <c:pt idx="590">
                  <c:v>150.09587023194715</c:v>
                </c:pt>
                <c:pt idx="591">
                  <c:v>150.09587023194715</c:v>
                </c:pt>
                <c:pt idx="592">
                  <c:v>150.09587023194715</c:v>
                </c:pt>
                <c:pt idx="593">
                  <c:v>150.09587023194715</c:v>
                </c:pt>
                <c:pt idx="594">
                  <c:v>150.09587023194715</c:v>
                </c:pt>
                <c:pt idx="595">
                  <c:v>150.09587023194715</c:v>
                </c:pt>
                <c:pt idx="596">
                  <c:v>150.09587023194715</c:v>
                </c:pt>
                <c:pt idx="597">
                  <c:v>150.09587023194715</c:v>
                </c:pt>
                <c:pt idx="598">
                  <c:v>150.09587023194715</c:v>
                </c:pt>
                <c:pt idx="599">
                  <c:v>150.09587023194715</c:v>
                </c:pt>
                <c:pt idx="600">
                  <c:v>150.09587023194715</c:v>
                </c:pt>
                <c:pt idx="601">
                  <c:v>150.09587023194715</c:v>
                </c:pt>
                <c:pt idx="602">
                  <c:v>150.09587023194715</c:v>
                </c:pt>
                <c:pt idx="603">
                  <c:v>150.09587023194715</c:v>
                </c:pt>
                <c:pt idx="604">
                  <c:v>150.09587023194715</c:v>
                </c:pt>
                <c:pt idx="605">
                  <c:v>150.09587023194715</c:v>
                </c:pt>
                <c:pt idx="606">
                  <c:v>150.09587023194715</c:v>
                </c:pt>
                <c:pt idx="607">
                  <c:v>150.09587023194715</c:v>
                </c:pt>
                <c:pt idx="608">
                  <c:v>150.09587023194715</c:v>
                </c:pt>
                <c:pt idx="609">
                  <c:v>150.09587023194715</c:v>
                </c:pt>
                <c:pt idx="610">
                  <c:v>150.09587023194715</c:v>
                </c:pt>
                <c:pt idx="611">
                  <c:v>150.09587023194715</c:v>
                </c:pt>
                <c:pt idx="612">
                  <c:v>150.09587023194715</c:v>
                </c:pt>
                <c:pt idx="613">
                  <c:v>150.09587023194715</c:v>
                </c:pt>
                <c:pt idx="614">
                  <c:v>150.09587023194715</c:v>
                </c:pt>
                <c:pt idx="615">
                  <c:v>150.09587023194715</c:v>
                </c:pt>
                <c:pt idx="616">
                  <c:v>150.09587023194715</c:v>
                </c:pt>
                <c:pt idx="617">
                  <c:v>150.09587023194715</c:v>
                </c:pt>
                <c:pt idx="618">
                  <c:v>150.09587023194715</c:v>
                </c:pt>
                <c:pt idx="619">
                  <c:v>150.09587023194715</c:v>
                </c:pt>
                <c:pt idx="620">
                  <c:v>150.09587023194715</c:v>
                </c:pt>
                <c:pt idx="621">
                  <c:v>150.09587023194715</c:v>
                </c:pt>
                <c:pt idx="622">
                  <c:v>150.09587023194715</c:v>
                </c:pt>
                <c:pt idx="623">
                  <c:v>150.09587023194715</c:v>
                </c:pt>
                <c:pt idx="624">
                  <c:v>150.09587023194715</c:v>
                </c:pt>
                <c:pt idx="625">
                  <c:v>150.09587023194715</c:v>
                </c:pt>
                <c:pt idx="626">
                  <c:v>150.09587023194715</c:v>
                </c:pt>
                <c:pt idx="627">
                  <c:v>150.09587023194715</c:v>
                </c:pt>
                <c:pt idx="628">
                  <c:v>150.09587023194715</c:v>
                </c:pt>
                <c:pt idx="629">
                  <c:v>150.09587023194715</c:v>
                </c:pt>
                <c:pt idx="630">
                  <c:v>150.09587023194715</c:v>
                </c:pt>
                <c:pt idx="631">
                  <c:v>150.09587023194715</c:v>
                </c:pt>
                <c:pt idx="632">
                  <c:v>150.09587023194715</c:v>
                </c:pt>
                <c:pt idx="633">
                  <c:v>150.09587023194715</c:v>
                </c:pt>
                <c:pt idx="634">
                  <c:v>150.09587023194715</c:v>
                </c:pt>
                <c:pt idx="635">
                  <c:v>150.09587023194715</c:v>
                </c:pt>
                <c:pt idx="636">
                  <c:v>150.09587023194715</c:v>
                </c:pt>
                <c:pt idx="637">
                  <c:v>150.09587023194715</c:v>
                </c:pt>
                <c:pt idx="638">
                  <c:v>150.09587023194715</c:v>
                </c:pt>
                <c:pt idx="639">
                  <c:v>150.09587023194715</c:v>
                </c:pt>
                <c:pt idx="640">
                  <c:v>150.09587023194715</c:v>
                </c:pt>
                <c:pt idx="641">
                  <c:v>150.09587023194715</c:v>
                </c:pt>
                <c:pt idx="642">
                  <c:v>150.09587023194715</c:v>
                </c:pt>
                <c:pt idx="643">
                  <c:v>150.09587023194715</c:v>
                </c:pt>
                <c:pt idx="644">
                  <c:v>150.09587023194715</c:v>
                </c:pt>
                <c:pt idx="645">
                  <c:v>150.09587023194715</c:v>
                </c:pt>
                <c:pt idx="646">
                  <c:v>150.09587023194715</c:v>
                </c:pt>
                <c:pt idx="647">
                  <c:v>150.09587023194715</c:v>
                </c:pt>
                <c:pt idx="648">
                  <c:v>150.09587023194715</c:v>
                </c:pt>
                <c:pt idx="649">
                  <c:v>150.09587023194715</c:v>
                </c:pt>
                <c:pt idx="650">
                  <c:v>150.09587023194715</c:v>
                </c:pt>
                <c:pt idx="651">
                  <c:v>150.09587023194715</c:v>
                </c:pt>
                <c:pt idx="652">
                  <c:v>150.09587023194715</c:v>
                </c:pt>
                <c:pt idx="653">
                  <c:v>150.09587023194715</c:v>
                </c:pt>
                <c:pt idx="654">
                  <c:v>150.09587023194715</c:v>
                </c:pt>
                <c:pt idx="655">
                  <c:v>150.09587023194715</c:v>
                </c:pt>
                <c:pt idx="656">
                  <c:v>150.09587023194715</c:v>
                </c:pt>
                <c:pt idx="657">
                  <c:v>150.09587023194715</c:v>
                </c:pt>
                <c:pt idx="658">
                  <c:v>150.09587023194715</c:v>
                </c:pt>
                <c:pt idx="659">
                  <c:v>150.09587023194715</c:v>
                </c:pt>
                <c:pt idx="660">
                  <c:v>150.09587023194715</c:v>
                </c:pt>
                <c:pt idx="661">
                  <c:v>150.09587023194715</c:v>
                </c:pt>
                <c:pt idx="662">
                  <c:v>150.09587023194715</c:v>
                </c:pt>
                <c:pt idx="663">
                  <c:v>150.09587023194715</c:v>
                </c:pt>
                <c:pt idx="664">
                  <c:v>150.09587023194715</c:v>
                </c:pt>
                <c:pt idx="665">
                  <c:v>150.09587023194715</c:v>
                </c:pt>
                <c:pt idx="666">
                  <c:v>150.09587023194715</c:v>
                </c:pt>
                <c:pt idx="667">
                  <c:v>150.09587023194715</c:v>
                </c:pt>
                <c:pt idx="668">
                  <c:v>150.09587023194715</c:v>
                </c:pt>
                <c:pt idx="669">
                  <c:v>150.09587023194715</c:v>
                </c:pt>
                <c:pt idx="670">
                  <c:v>150.09587023194715</c:v>
                </c:pt>
                <c:pt idx="671">
                  <c:v>150.09587023194715</c:v>
                </c:pt>
                <c:pt idx="672">
                  <c:v>150.09587023194715</c:v>
                </c:pt>
                <c:pt idx="673">
                  <c:v>150.09587023194715</c:v>
                </c:pt>
                <c:pt idx="674">
                  <c:v>150.09587023194715</c:v>
                </c:pt>
                <c:pt idx="675">
                  <c:v>150.09587023194715</c:v>
                </c:pt>
                <c:pt idx="676">
                  <c:v>150.09587023194715</c:v>
                </c:pt>
                <c:pt idx="677">
                  <c:v>150.09587023194715</c:v>
                </c:pt>
                <c:pt idx="678">
                  <c:v>150.09587023194715</c:v>
                </c:pt>
                <c:pt idx="679">
                  <c:v>150.09587023194715</c:v>
                </c:pt>
                <c:pt idx="680">
                  <c:v>150.09587023194715</c:v>
                </c:pt>
                <c:pt idx="681">
                  <c:v>150.09587023194715</c:v>
                </c:pt>
                <c:pt idx="682">
                  <c:v>150.09587023194715</c:v>
                </c:pt>
                <c:pt idx="683">
                  <c:v>150.09587023194715</c:v>
                </c:pt>
                <c:pt idx="684">
                  <c:v>150.09587023194715</c:v>
                </c:pt>
                <c:pt idx="685">
                  <c:v>150.09587023194715</c:v>
                </c:pt>
                <c:pt idx="686">
                  <c:v>150.09587023194715</c:v>
                </c:pt>
                <c:pt idx="687">
                  <c:v>150.09587023194715</c:v>
                </c:pt>
                <c:pt idx="688">
                  <c:v>150.09587023194715</c:v>
                </c:pt>
                <c:pt idx="689">
                  <c:v>150.09587023194715</c:v>
                </c:pt>
                <c:pt idx="690">
                  <c:v>150.09587023194715</c:v>
                </c:pt>
                <c:pt idx="691">
                  <c:v>150.09587023194715</c:v>
                </c:pt>
                <c:pt idx="692">
                  <c:v>150.09587023194715</c:v>
                </c:pt>
                <c:pt idx="693">
                  <c:v>150.09587023194715</c:v>
                </c:pt>
                <c:pt idx="694">
                  <c:v>150.09587023194715</c:v>
                </c:pt>
                <c:pt idx="695">
                  <c:v>150.09587023194715</c:v>
                </c:pt>
                <c:pt idx="696">
                  <c:v>150.09587023194715</c:v>
                </c:pt>
                <c:pt idx="697">
                  <c:v>150.09587023194715</c:v>
                </c:pt>
                <c:pt idx="698">
                  <c:v>150.09587023194715</c:v>
                </c:pt>
                <c:pt idx="699">
                  <c:v>150.09587023194715</c:v>
                </c:pt>
                <c:pt idx="700">
                  <c:v>150.09587023194715</c:v>
                </c:pt>
                <c:pt idx="701">
                  <c:v>150.09587023194715</c:v>
                </c:pt>
                <c:pt idx="702">
                  <c:v>150.09587023194715</c:v>
                </c:pt>
                <c:pt idx="703">
                  <c:v>150.09587023194715</c:v>
                </c:pt>
                <c:pt idx="704">
                  <c:v>150.09587023194715</c:v>
                </c:pt>
                <c:pt idx="705">
                  <c:v>150.09587023194715</c:v>
                </c:pt>
                <c:pt idx="706">
                  <c:v>150.09587023194715</c:v>
                </c:pt>
                <c:pt idx="707">
                  <c:v>150.09587023194715</c:v>
                </c:pt>
                <c:pt idx="708">
                  <c:v>150.09587023194715</c:v>
                </c:pt>
                <c:pt idx="709">
                  <c:v>150.09587023194715</c:v>
                </c:pt>
                <c:pt idx="710">
                  <c:v>150.09587023194715</c:v>
                </c:pt>
                <c:pt idx="711">
                  <c:v>150.09587023194715</c:v>
                </c:pt>
                <c:pt idx="712">
                  <c:v>150.09587023194715</c:v>
                </c:pt>
                <c:pt idx="713">
                  <c:v>150.09587023194715</c:v>
                </c:pt>
                <c:pt idx="714">
                  <c:v>150.09587023194715</c:v>
                </c:pt>
                <c:pt idx="715">
                  <c:v>150.09587023194715</c:v>
                </c:pt>
                <c:pt idx="716">
                  <c:v>150.09587023194715</c:v>
                </c:pt>
                <c:pt idx="717">
                  <c:v>150.09587023194715</c:v>
                </c:pt>
                <c:pt idx="718">
                  <c:v>150.09587023194715</c:v>
                </c:pt>
                <c:pt idx="719">
                  <c:v>150.09587023194715</c:v>
                </c:pt>
                <c:pt idx="720">
                  <c:v>150.09587023194715</c:v>
                </c:pt>
                <c:pt idx="721">
                  <c:v>150.09587023194715</c:v>
                </c:pt>
                <c:pt idx="722">
                  <c:v>150.09587023194715</c:v>
                </c:pt>
                <c:pt idx="723">
                  <c:v>150.09587023194715</c:v>
                </c:pt>
                <c:pt idx="724">
                  <c:v>150.09587023194715</c:v>
                </c:pt>
                <c:pt idx="725">
                  <c:v>150.09587023194715</c:v>
                </c:pt>
                <c:pt idx="726">
                  <c:v>150.09587023194715</c:v>
                </c:pt>
                <c:pt idx="727">
                  <c:v>150.09587023194715</c:v>
                </c:pt>
                <c:pt idx="728">
                  <c:v>150.09587023194715</c:v>
                </c:pt>
                <c:pt idx="729">
                  <c:v>150.09587023194715</c:v>
                </c:pt>
                <c:pt idx="730">
                  <c:v>150.09587023194715</c:v>
                </c:pt>
                <c:pt idx="731">
                  <c:v>150.09587023194715</c:v>
                </c:pt>
                <c:pt idx="732">
                  <c:v>150.09587023194715</c:v>
                </c:pt>
                <c:pt idx="733">
                  <c:v>150.09587023194715</c:v>
                </c:pt>
                <c:pt idx="734">
                  <c:v>150.09587023194715</c:v>
                </c:pt>
                <c:pt idx="735">
                  <c:v>150.09587023194715</c:v>
                </c:pt>
                <c:pt idx="736">
                  <c:v>150.09587023194715</c:v>
                </c:pt>
                <c:pt idx="737">
                  <c:v>150.09587023194715</c:v>
                </c:pt>
                <c:pt idx="738">
                  <c:v>150.09587023194715</c:v>
                </c:pt>
                <c:pt idx="739">
                  <c:v>150.09587023194715</c:v>
                </c:pt>
                <c:pt idx="740">
                  <c:v>150.09587023194715</c:v>
                </c:pt>
                <c:pt idx="741">
                  <c:v>150.09587023194715</c:v>
                </c:pt>
                <c:pt idx="742">
                  <c:v>150.09587023194715</c:v>
                </c:pt>
                <c:pt idx="743">
                  <c:v>150.09587023194715</c:v>
                </c:pt>
                <c:pt idx="744">
                  <c:v>150.09587023194715</c:v>
                </c:pt>
                <c:pt idx="745">
                  <c:v>150.09587023194715</c:v>
                </c:pt>
                <c:pt idx="746">
                  <c:v>150.09587023194715</c:v>
                </c:pt>
                <c:pt idx="747">
                  <c:v>150.09587023194715</c:v>
                </c:pt>
                <c:pt idx="748">
                  <c:v>150.09587023194715</c:v>
                </c:pt>
                <c:pt idx="749">
                  <c:v>150.09587023194715</c:v>
                </c:pt>
                <c:pt idx="750">
                  <c:v>150.09587023194715</c:v>
                </c:pt>
                <c:pt idx="751">
                  <c:v>150.09587023194715</c:v>
                </c:pt>
                <c:pt idx="752">
                  <c:v>150.09587023194715</c:v>
                </c:pt>
                <c:pt idx="753">
                  <c:v>150.09587023194715</c:v>
                </c:pt>
                <c:pt idx="754">
                  <c:v>150.09587023194715</c:v>
                </c:pt>
                <c:pt idx="755">
                  <c:v>150.09587023194715</c:v>
                </c:pt>
                <c:pt idx="756">
                  <c:v>150.09587023194715</c:v>
                </c:pt>
                <c:pt idx="757">
                  <c:v>150.09587023194715</c:v>
                </c:pt>
                <c:pt idx="758">
                  <c:v>150.09587023194715</c:v>
                </c:pt>
                <c:pt idx="759">
                  <c:v>150.09587023194715</c:v>
                </c:pt>
                <c:pt idx="760">
                  <c:v>150.09587023194715</c:v>
                </c:pt>
                <c:pt idx="761">
                  <c:v>150.09587023194715</c:v>
                </c:pt>
                <c:pt idx="762">
                  <c:v>150.09587023194715</c:v>
                </c:pt>
                <c:pt idx="763">
                  <c:v>150.09587023194715</c:v>
                </c:pt>
                <c:pt idx="764">
                  <c:v>150.09587023194715</c:v>
                </c:pt>
                <c:pt idx="765">
                  <c:v>150.09587023194715</c:v>
                </c:pt>
                <c:pt idx="766">
                  <c:v>150.09587023194715</c:v>
                </c:pt>
                <c:pt idx="767">
                  <c:v>150.09587023194715</c:v>
                </c:pt>
                <c:pt idx="768">
                  <c:v>150.09587023194715</c:v>
                </c:pt>
                <c:pt idx="769">
                  <c:v>150.09587023194715</c:v>
                </c:pt>
                <c:pt idx="770">
                  <c:v>150.09587023194715</c:v>
                </c:pt>
                <c:pt idx="771">
                  <c:v>150.09587023194715</c:v>
                </c:pt>
                <c:pt idx="772">
                  <c:v>150.09587023194715</c:v>
                </c:pt>
                <c:pt idx="773">
                  <c:v>150.09587023194715</c:v>
                </c:pt>
                <c:pt idx="774">
                  <c:v>150.09587023194715</c:v>
                </c:pt>
                <c:pt idx="775">
                  <c:v>150.09587023194715</c:v>
                </c:pt>
                <c:pt idx="776">
                  <c:v>150.09587023194715</c:v>
                </c:pt>
                <c:pt idx="777">
                  <c:v>150.09587023194715</c:v>
                </c:pt>
                <c:pt idx="778">
                  <c:v>150.09587023194715</c:v>
                </c:pt>
                <c:pt idx="779">
                  <c:v>150.09587023194715</c:v>
                </c:pt>
                <c:pt idx="780">
                  <c:v>150.09587023194715</c:v>
                </c:pt>
                <c:pt idx="781">
                  <c:v>150.09587023194715</c:v>
                </c:pt>
                <c:pt idx="782">
                  <c:v>150.09587023194715</c:v>
                </c:pt>
                <c:pt idx="783">
                  <c:v>150.09587023194715</c:v>
                </c:pt>
                <c:pt idx="784">
                  <c:v>150.09587023194715</c:v>
                </c:pt>
                <c:pt idx="785">
                  <c:v>150.09587023194715</c:v>
                </c:pt>
                <c:pt idx="786">
                  <c:v>150.09587023194715</c:v>
                </c:pt>
                <c:pt idx="787">
                  <c:v>150.09587023194715</c:v>
                </c:pt>
                <c:pt idx="788">
                  <c:v>150.09587023194715</c:v>
                </c:pt>
                <c:pt idx="789">
                  <c:v>150.09587023194715</c:v>
                </c:pt>
                <c:pt idx="790">
                  <c:v>150.09587023194715</c:v>
                </c:pt>
                <c:pt idx="791">
                  <c:v>150.09587023194715</c:v>
                </c:pt>
                <c:pt idx="792">
                  <c:v>150.09587023194715</c:v>
                </c:pt>
                <c:pt idx="793">
                  <c:v>150.09587023194715</c:v>
                </c:pt>
                <c:pt idx="794">
                  <c:v>150.09587023194715</c:v>
                </c:pt>
                <c:pt idx="795">
                  <c:v>150.09587023194715</c:v>
                </c:pt>
                <c:pt idx="796">
                  <c:v>150.09587023194715</c:v>
                </c:pt>
                <c:pt idx="797">
                  <c:v>150.09587023194715</c:v>
                </c:pt>
                <c:pt idx="798">
                  <c:v>150.09587023194715</c:v>
                </c:pt>
                <c:pt idx="799">
                  <c:v>150.09587023194715</c:v>
                </c:pt>
                <c:pt idx="800">
                  <c:v>150.09587023194715</c:v>
                </c:pt>
                <c:pt idx="801">
                  <c:v>150.09587023194715</c:v>
                </c:pt>
                <c:pt idx="802">
                  <c:v>150.09587023194715</c:v>
                </c:pt>
                <c:pt idx="803">
                  <c:v>150.09587023194715</c:v>
                </c:pt>
                <c:pt idx="804">
                  <c:v>150.09587023194715</c:v>
                </c:pt>
                <c:pt idx="805">
                  <c:v>150.09587023194715</c:v>
                </c:pt>
                <c:pt idx="806">
                  <c:v>150.09587023194715</c:v>
                </c:pt>
                <c:pt idx="807">
                  <c:v>150.09587023194715</c:v>
                </c:pt>
                <c:pt idx="808">
                  <c:v>150.09587023194715</c:v>
                </c:pt>
                <c:pt idx="809">
                  <c:v>150.09587023194715</c:v>
                </c:pt>
                <c:pt idx="810">
                  <c:v>150.09587023194715</c:v>
                </c:pt>
                <c:pt idx="811">
                  <c:v>150.09587023194715</c:v>
                </c:pt>
                <c:pt idx="812">
                  <c:v>150.09587023194715</c:v>
                </c:pt>
                <c:pt idx="813">
                  <c:v>150.09587023194715</c:v>
                </c:pt>
                <c:pt idx="814">
                  <c:v>150.09587023194715</c:v>
                </c:pt>
                <c:pt idx="815">
                  <c:v>150.09587023194715</c:v>
                </c:pt>
                <c:pt idx="816">
                  <c:v>150.09587023194715</c:v>
                </c:pt>
                <c:pt idx="817">
                  <c:v>150.09587023194715</c:v>
                </c:pt>
                <c:pt idx="818">
                  <c:v>150.09587023194715</c:v>
                </c:pt>
                <c:pt idx="819">
                  <c:v>150.09587023194715</c:v>
                </c:pt>
                <c:pt idx="820">
                  <c:v>150.09587023194715</c:v>
                </c:pt>
                <c:pt idx="821">
                  <c:v>150.09587023194715</c:v>
                </c:pt>
                <c:pt idx="822">
                  <c:v>150.09587023194715</c:v>
                </c:pt>
                <c:pt idx="823">
                  <c:v>150.09587023194715</c:v>
                </c:pt>
                <c:pt idx="824">
                  <c:v>150.09587023194715</c:v>
                </c:pt>
                <c:pt idx="825">
                  <c:v>150.09587023194715</c:v>
                </c:pt>
                <c:pt idx="826">
                  <c:v>150.09587023194715</c:v>
                </c:pt>
                <c:pt idx="827">
                  <c:v>150.09587023194715</c:v>
                </c:pt>
                <c:pt idx="828">
                  <c:v>150.09587023194715</c:v>
                </c:pt>
                <c:pt idx="829">
                  <c:v>150.09587023194715</c:v>
                </c:pt>
                <c:pt idx="830">
                  <c:v>150.09587023194715</c:v>
                </c:pt>
                <c:pt idx="831">
                  <c:v>150.09587023194715</c:v>
                </c:pt>
                <c:pt idx="832">
                  <c:v>150.09587023194715</c:v>
                </c:pt>
                <c:pt idx="833">
                  <c:v>150.09587023194715</c:v>
                </c:pt>
                <c:pt idx="834">
                  <c:v>150.09587023194715</c:v>
                </c:pt>
                <c:pt idx="835">
                  <c:v>150.09587023194715</c:v>
                </c:pt>
                <c:pt idx="836">
                  <c:v>150.09587023194715</c:v>
                </c:pt>
                <c:pt idx="837">
                  <c:v>150.09587023194715</c:v>
                </c:pt>
                <c:pt idx="838">
                  <c:v>150.09587023194715</c:v>
                </c:pt>
                <c:pt idx="839">
                  <c:v>150.09587023194715</c:v>
                </c:pt>
                <c:pt idx="840">
                  <c:v>150.09587023194715</c:v>
                </c:pt>
                <c:pt idx="841">
                  <c:v>150.09587023194715</c:v>
                </c:pt>
                <c:pt idx="842">
                  <c:v>150.09587023194715</c:v>
                </c:pt>
                <c:pt idx="843">
                  <c:v>150.09587023194715</c:v>
                </c:pt>
                <c:pt idx="844">
                  <c:v>150.09587023194715</c:v>
                </c:pt>
                <c:pt idx="845">
                  <c:v>150.09587023194715</c:v>
                </c:pt>
                <c:pt idx="846">
                  <c:v>150.09587023194715</c:v>
                </c:pt>
                <c:pt idx="847">
                  <c:v>150.09587023194715</c:v>
                </c:pt>
                <c:pt idx="848">
                  <c:v>150.09587023194715</c:v>
                </c:pt>
                <c:pt idx="849">
                  <c:v>150.09587023194715</c:v>
                </c:pt>
                <c:pt idx="850">
                  <c:v>150.09587023194715</c:v>
                </c:pt>
                <c:pt idx="851">
                  <c:v>150.09587023194715</c:v>
                </c:pt>
                <c:pt idx="852">
                  <c:v>150.09587023194715</c:v>
                </c:pt>
                <c:pt idx="853">
                  <c:v>150.09587023194715</c:v>
                </c:pt>
                <c:pt idx="854">
                  <c:v>150.09587023194715</c:v>
                </c:pt>
                <c:pt idx="855">
                  <c:v>150.09587023194715</c:v>
                </c:pt>
                <c:pt idx="856">
                  <c:v>150.09587023194715</c:v>
                </c:pt>
                <c:pt idx="857">
                  <c:v>150.09587023194715</c:v>
                </c:pt>
                <c:pt idx="858">
                  <c:v>150.09587023194715</c:v>
                </c:pt>
                <c:pt idx="859">
                  <c:v>150.09587023194715</c:v>
                </c:pt>
                <c:pt idx="860">
                  <c:v>150.09587023194715</c:v>
                </c:pt>
                <c:pt idx="861">
                  <c:v>150.09587023194715</c:v>
                </c:pt>
                <c:pt idx="862">
                  <c:v>150.09587023194715</c:v>
                </c:pt>
                <c:pt idx="863">
                  <c:v>150.09587023194715</c:v>
                </c:pt>
                <c:pt idx="864">
                  <c:v>150.09587023194715</c:v>
                </c:pt>
                <c:pt idx="865">
                  <c:v>150.09587023194715</c:v>
                </c:pt>
                <c:pt idx="866">
                  <c:v>150.09587023194715</c:v>
                </c:pt>
                <c:pt idx="867">
                  <c:v>150.09587023194715</c:v>
                </c:pt>
                <c:pt idx="868">
                  <c:v>150.09587023194715</c:v>
                </c:pt>
                <c:pt idx="869">
                  <c:v>150.09587023194715</c:v>
                </c:pt>
                <c:pt idx="870">
                  <c:v>150.09587023194715</c:v>
                </c:pt>
                <c:pt idx="871">
                  <c:v>150.09587023194715</c:v>
                </c:pt>
                <c:pt idx="872">
                  <c:v>150.09587023194715</c:v>
                </c:pt>
                <c:pt idx="873">
                  <c:v>150.09587023194715</c:v>
                </c:pt>
                <c:pt idx="874">
                  <c:v>150.09587023194715</c:v>
                </c:pt>
                <c:pt idx="875">
                  <c:v>150.09587023194715</c:v>
                </c:pt>
                <c:pt idx="876">
                  <c:v>150.09587023194715</c:v>
                </c:pt>
                <c:pt idx="877">
                  <c:v>150.09587023194715</c:v>
                </c:pt>
                <c:pt idx="878">
                  <c:v>150.09587023194715</c:v>
                </c:pt>
                <c:pt idx="879">
                  <c:v>150.09587023194715</c:v>
                </c:pt>
                <c:pt idx="880">
                  <c:v>150.09587023194715</c:v>
                </c:pt>
                <c:pt idx="881">
                  <c:v>150.09587023194715</c:v>
                </c:pt>
                <c:pt idx="882">
                  <c:v>150.09587023194715</c:v>
                </c:pt>
                <c:pt idx="883">
                  <c:v>150.09587023194715</c:v>
                </c:pt>
                <c:pt idx="884">
                  <c:v>150.09587023194715</c:v>
                </c:pt>
                <c:pt idx="885">
                  <c:v>150.09587023194715</c:v>
                </c:pt>
                <c:pt idx="886">
                  <c:v>150.09587023194715</c:v>
                </c:pt>
                <c:pt idx="887">
                  <c:v>150.09587023194715</c:v>
                </c:pt>
                <c:pt idx="888">
                  <c:v>150.09587023194715</c:v>
                </c:pt>
                <c:pt idx="889">
                  <c:v>150.09587023194715</c:v>
                </c:pt>
                <c:pt idx="890">
                  <c:v>150.09587023194715</c:v>
                </c:pt>
                <c:pt idx="891">
                  <c:v>150.09587023194715</c:v>
                </c:pt>
                <c:pt idx="892">
                  <c:v>150.09587023194715</c:v>
                </c:pt>
                <c:pt idx="893">
                  <c:v>150.09587023194715</c:v>
                </c:pt>
                <c:pt idx="894">
                  <c:v>150.09587023194715</c:v>
                </c:pt>
                <c:pt idx="895">
                  <c:v>150.09587023194715</c:v>
                </c:pt>
                <c:pt idx="896">
                  <c:v>150.09587023194715</c:v>
                </c:pt>
                <c:pt idx="897">
                  <c:v>150.09587023194715</c:v>
                </c:pt>
                <c:pt idx="898">
                  <c:v>150.09587023194715</c:v>
                </c:pt>
                <c:pt idx="899">
                  <c:v>150.09587023194715</c:v>
                </c:pt>
                <c:pt idx="900">
                  <c:v>150.09587023194715</c:v>
                </c:pt>
                <c:pt idx="901">
                  <c:v>150.09587023194715</c:v>
                </c:pt>
                <c:pt idx="902">
                  <c:v>150.09587023194715</c:v>
                </c:pt>
                <c:pt idx="903">
                  <c:v>150.09587023194715</c:v>
                </c:pt>
                <c:pt idx="904">
                  <c:v>150.09587023194715</c:v>
                </c:pt>
                <c:pt idx="905">
                  <c:v>150.09587023194715</c:v>
                </c:pt>
                <c:pt idx="906">
                  <c:v>150.09587023194715</c:v>
                </c:pt>
                <c:pt idx="907">
                  <c:v>150.09587023194715</c:v>
                </c:pt>
                <c:pt idx="908">
                  <c:v>150.09587023194715</c:v>
                </c:pt>
                <c:pt idx="909">
                  <c:v>150.09587023194715</c:v>
                </c:pt>
                <c:pt idx="910">
                  <c:v>150.09587023194715</c:v>
                </c:pt>
                <c:pt idx="911">
                  <c:v>150.09587023194715</c:v>
                </c:pt>
                <c:pt idx="912">
                  <c:v>150.09587023194715</c:v>
                </c:pt>
                <c:pt idx="913">
                  <c:v>150.09587023194715</c:v>
                </c:pt>
                <c:pt idx="914">
                  <c:v>150.09587023194715</c:v>
                </c:pt>
                <c:pt idx="915">
                  <c:v>150.09587023194715</c:v>
                </c:pt>
                <c:pt idx="916">
                  <c:v>150.09587023194715</c:v>
                </c:pt>
                <c:pt idx="917">
                  <c:v>150.09587023194715</c:v>
                </c:pt>
                <c:pt idx="918">
                  <c:v>150.09587023194715</c:v>
                </c:pt>
                <c:pt idx="919">
                  <c:v>150.09587023194715</c:v>
                </c:pt>
                <c:pt idx="920">
                  <c:v>150.09587023194715</c:v>
                </c:pt>
                <c:pt idx="921">
                  <c:v>150.09587023194715</c:v>
                </c:pt>
                <c:pt idx="922">
                  <c:v>150.09587023194715</c:v>
                </c:pt>
                <c:pt idx="923">
                  <c:v>150.09587023194715</c:v>
                </c:pt>
                <c:pt idx="924">
                  <c:v>150.09587023194715</c:v>
                </c:pt>
                <c:pt idx="925">
                  <c:v>150.09587023194715</c:v>
                </c:pt>
                <c:pt idx="926">
                  <c:v>150.09587023194715</c:v>
                </c:pt>
                <c:pt idx="927">
                  <c:v>150.09587023194715</c:v>
                </c:pt>
                <c:pt idx="928">
                  <c:v>150.09587023194715</c:v>
                </c:pt>
                <c:pt idx="929">
                  <c:v>150.09587023194715</c:v>
                </c:pt>
                <c:pt idx="930">
                  <c:v>150.09587023194715</c:v>
                </c:pt>
                <c:pt idx="931">
                  <c:v>150.09587023194715</c:v>
                </c:pt>
                <c:pt idx="932">
                  <c:v>150.09587023194715</c:v>
                </c:pt>
                <c:pt idx="933">
                  <c:v>150.09587023194715</c:v>
                </c:pt>
                <c:pt idx="934">
                  <c:v>150.09587023194715</c:v>
                </c:pt>
                <c:pt idx="935">
                  <c:v>150.09587023194715</c:v>
                </c:pt>
                <c:pt idx="936">
                  <c:v>150.09587023194715</c:v>
                </c:pt>
                <c:pt idx="937">
                  <c:v>150.09587023194715</c:v>
                </c:pt>
                <c:pt idx="938">
                  <c:v>150.09587023194715</c:v>
                </c:pt>
                <c:pt idx="939">
                  <c:v>150.09587023194715</c:v>
                </c:pt>
                <c:pt idx="940">
                  <c:v>150.09587023194715</c:v>
                </c:pt>
                <c:pt idx="941">
                  <c:v>150.09587023194715</c:v>
                </c:pt>
                <c:pt idx="942">
                  <c:v>150.09587023194715</c:v>
                </c:pt>
                <c:pt idx="943">
                  <c:v>150.09587023194715</c:v>
                </c:pt>
                <c:pt idx="944">
                  <c:v>150.09587023194715</c:v>
                </c:pt>
                <c:pt idx="945">
                  <c:v>150.09587023194715</c:v>
                </c:pt>
                <c:pt idx="946">
                  <c:v>150.09587023194715</c:v>
                </c:pt>
                <c:pt idx="947">
                  <c:v>150.09587023194715</c:v>
                </c:pt>
                <c:pt idx="948">
                  <c:v>150.09587023194715</c:v>
                </c:pt>
                <c:pt idx="949">
                  <c:v>150.09587023194715</c:v>
                </c:pt>
                <c:pt idx="950">
                  <c:v>150.09587023194715</c:v>
                </c:pt>
                <c:pt idx="951">
                  <c:v>150.09587023194715</c:v>
                </c:pt>
                <c:pt idx="952">
                  <c:v>150.09587023194715</c:v>
                </c:pt>
                <c:pt idx="953">
                  <c:v>150.09587023194715</c:v>
                </c:pt>
                <c:pt idx="954">
                  <c:v>150.09587023194715</c:v>
                </c:pt>
                <c:pt idx="955">
                  <c:v>150.09587023194715</c:v>
                </c:pt>
                <c:pt idx="956">
                  <c:v>150.09587023194715</c:v>
                </c:pt>
                <c:pt idx="957">
                  <c:v>150.09587023194715</c:v>
                </c:pt>
                <c:pt idx="958">
                  <c:v>150.09587023194715</c:v>
                </c:pt>
                <c:pt idx="959">
                  <c:v>150.09587023194715</c:v>
                </c:pt>
                <c:pt idx="960">
                  <c:v>150.09587023194715</c:v>
                </c:pt>
                <c:pt idx="961">
                  <c:v>150.09587023194715</c:v>
                </c:pt>
                <c:pt idx="962">
                  <c:v>150.09587023194715</c:v>
                </c:pt>
                <c:pt idx="963">
                  <c:v>150.09587023194715</c:v>
                </c:pt>
                <c:pt idx="964">
                  <c:v>150.09587023194715</c:v>
                </c:pt>
                <c:pt idx="965">
                  <c:v>150.09587023194715</c:v>
                </c:pt>
                <c:pt idx="966">
                  <c:v>150.09587023194715</c:v>
                </c:pt>
                <c:pt idx="967">
                  <c:v>150.09587023194715</c:v>
                </c:pt>
                <c:pt idx="968">
                  <c:v>150.09587023194715</c:v>
                </c:pt>
                <c:pt idx="969">
                  <c:v>150.09587023194715</c:v>
                </c:pt>
                <c:pt idx="970">
                  <c:v>150.09587023194715</c:v>
                </c:pt>
                <c:pt idx="971">
                  <c:v>150.09587023194715</c:v>
                </c:pt>
                <c:pt idx="972">
                  <c:v>150.09587023194715</c:v>
                </c:pt>
                <c:pt idx="973">
                  <c:v>150.09587023194715</c:v>
                </c:pt>
                <c:pt idx="974">
                  <c:v>150.09587023194715</c:v>
                </c:pt>
                <c:pt idx="975">
                  <c:v>150.09587023194715</c:v>
                </c:pt>
                <c:pt idx="976">
                  <c:v>150.09587023194715</c:v>
                </c:pt>
                <c:pt idx="977">
                  <c:v>150.09587023194715</c:v>
                </c:pt>
                <c:pt idx="978">
                  <c:v>150.09587023194715</c:v>
                </c:pt>
                <c:pt idx="979">
                  <c:v>150.09587023194715</c:v>
                </c:pt>
                <c:pt idx="980">
                  <c:v>150.09587023194715</c:v>
                </c:pt>
                <c:pt idx="981">
                  <c:v>150.09587023194715</c:v>
                </c:pt>
                <c:pt idx="982">
                  <c:v>150.09587023194715</c:v>
                </c:pt>
                <c:pt idx="983">
                  <c:v>150.09587023194715</c:v>
                </c:pt>
                <c:pt idx="984">
                  <c:v>150.09587023194715</c:v>
                </c:pt>
                <c:pt idx="985">
                  <c:v>150.09587023194715</c:v>
                </c:pt>
                <c:pt idx="986">
                  <c:v>150.09587023194715</c:v>
                </c:pt>
                <c:pt idx="987">
                  <c:v>150.09587023194715</c:v>
                </c:pt>
                <c:pt idx="988">
                  <c:v>150.09587023194715</c:v>
                </c:pt>
                <c:pt idx="989">
                  <c:v>150.09587023194715</c:v>
                </c:pt>
                <c:pt idx="990">
                  <c:v>150.09587023194715</c:v>
                </c:pt>
                <c:pt idx="991">
                  <c:v>150.09587023194715</c:v>
                </c:pt>
                <c:pt idx="992">
                  <c:v>150.09587023194715</c:v>
                </c:pt>
                <c:pt idx="993">
                  <c:v>150.09587023194715</c:v>
                </c:pt>
                <c:pt idx="994">
                  <c:v>150.09587023194715</c:v>
                </c:pt>
                <c:pt idx="995">
                  <c:v>150.09587023194715</c:v>
                </c:pt>
                <c:pt idx="996">
                  <c:v>150.09587023194715</c:v>
                </c:pt>
                <c:pt idx="997">
                  <c:v>150.09587023194715</c:v>
                </c:pt>
                <c:pt idx="998">
                  <c:v>150.09587023194715</c:v>
                </c:pt>
                <c:pt idx="999">
                  <c:v>150.09587023194715</c:v>
                </c:pt>
                <c:pt idx="1000">
                  <c:v>150.09587023194715</c:v>
                </c:pt>
              </c:numCache>
            </c:numRef>
          </c:xVal>
          <c:yVal>
            <c:numRef>
              <c:f>Calculs!$AE$4:$AE$1004</c:f>
              <c:numCache>
                <c:formatCode>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yVal>
          <c:smooth val="0"/>
          <c:extLst>
            <c:ext xmlns:c16="http://schemas.microsoft.com/office/drawing/2014/chart" uri="{C3380CC4-5D6E-409C-BE32-E72D297353CC}">
              <c16:uniqueId val="{00000005-432A-49A9-9499-7ED3E32DDB07}"/>
            </c:ext>
          </c:extLst>
        </c:ser>
        <c:ser>
          <c:idx val="6"/>
          <c:order val="5"/>
          <c:tx>
            <c:strRef>
              <c:f>Trajecto!$B$107</c:f>
              <c:strCache>
                <c:ptCount val="1"/>
                <c:pt idx="0">
                  <c:v>Phase ascendante</c:v>
                </c:pt>
              </c:strCache>
            </c:strRef>
          </c:tx>
          <c:spPr>
            <a:ln w="28575">
              <a:noFill/>
            </a:ln>
          </c:spPr>
          <c:marker>
            <c:symbol val="none"/>
          </c:marker>
          <c:dLbls>
            <c:spPr>
              <a:noFill/>
              <a:ln w="25400">
                <a:noFill/>
              </a:ln>
            </c:spPr>
            <c:txPr>
              <a:bodyPr/>
              <a:lstStyle/>
              <a:p>
                <a:pPr>
                  <a:defRPr sz="700" b="1" i="0" u="none" strike="noStrike" baseline="0">
                    <a:solidFill>
                      <a:srgbClr val="000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Trajecto!$D$158</c:f>
              <c:numCache>
                <c:formatCode>0</c:formatCode>
                <c:ptCount val="1"/>
                <c:pt idx="0">
                  <c:v>24.061211681142019</c:v>
                </c:pt>
              </c:numCache>
            </c:numRef>
          </c:xVal>
          <c:yVal>
            <c:numRef>
              <c:f>Trajecto!$C$158</c:f>
              <c:numCache>
                <c:formatCode>0</c:formatCode>
                <c:ptCount val="1"/>
                <c:pt idx="0">
                  <c:v>146.01431707718984</c:v>
                </c:pt>
              </c:numCache>
            </c:numRef>
          </c:yVal>
          <c:smooth val="0"/>
          <c:extLst>
            <c:ext xmlns:c16="http://schemas.microsoft.com/office/drawing/2014/chart" uri="{C3380CC4-5D6E-409C-BE32-E72D297353CC}">
              <c16:uniqueId val="{00000006-432A-49A9-9499-7ED3E32DDB07}"/>
            </c:ext>
          </c:extLst>
        </c:ser>
        <c:ser>
          <c:idx val="7"/>
          <c:order val="6"/>
          <c:tx>
            <c:strRef>
              <c:f>Trajecto!$B$108</c:f>
              <c:strCache>
                <c:ptCount val="1"/>
                <c:pt idx="0">
                  <c:v>Descente balistique</c:v>
                </c:pt>
              </c:strCache>
            </c:strRef>
          </c:tx>
          <c:spPr>
            <a:ln w="28575">
              <a:noFill/>
            </a:ln>
          </c:spPr>
          <c:marker>
            <c:symbol val="none"/>
          </c:marker>
          <c:dLbls>
            <c:spPr>
              <a:noFill/>
              <a:ln w="25400">
                <a:noFill/>
              </a:ln>
            </c:spPr>
            <c:txPr>
              <a:bodyPr/>
              <a:lstStyle/>
              <a:p>
                <a:pPr>
                  <a:defRPr sz="700" b="1" i="0" u="none" strike="noStrike" baseline="0">
                    <a:solidFill>
                      <a:srgbClr val="808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Trajecto!$D$159</c:f>
              <c:numCache>
                <c:formatCode>0</c:formatCode>
                <c:ptCount val="1"/>
                <c:pt idx="0">
                  <c:v>129.00661963875723</c:v>
                </c:pt>
              </c:numCache>
            </c:numRef>
          </c:xVal>
          <c:yVal>
            <c:numRef>
              <c:f>Trajecto!$C$159</c:f>
              <c:numCache>
                <c:formatCode>0</c:formatCode>
                <c:ptCount val="1"/>
                <c:pt idx="0">
                  <c:v>148.05198023845244</c:v>
                </c:pt>
              </c:numCache>
            </c:numRef>
          </c:yVal>
          <c:smooth val="0"/>
          <c:extLst>
            <c:ext xmlns:c16="http://schemas.microsoft.com/office/drawing/2014/chart" uri="{C3380CC4-5D6E-409C-BE32-E72D297353CC}">
              <c16:uniqueId val="{00000007-432A-49A9-9499-7ED3E32DDB07}"/>
            </c:ext>
          </c:extLst>
        </c:ser>
        <c:ser>
          <c:idx val="8"/>
          <c:order val="7"/>
          <c:tx>
            <c:strRef>
              <c:f>Trajecto!$D$161</c:f>
              <c:strCache>
                <c:ptCount val="1"/>
                <c:pt idx="0">
                  <c:v>Arc de triomphe</c:v>
                </c:pt>
              </c:strCache>
            </c:strRef>
          </c:tx>
          <c:spPr>
            <a:ln>
              <a:solidFill>
                <a:srgbClr val="C0C0C0"/>
              </a:solidFill>
            </a:ln>
          </c:spPr>
          <c:marker>
            <c:symbol val="none"/>
          </c:marker>
          <c:dLbls>
            <c:dLbl>
              <c:idx val="8"/>
              <c:tx>
                <c:strRef>
                  <c:f>Trajecto!$D$161</c:f>
                  <c:strCache>
                    <c:ptCount val="1"/>
                    <c:pt idx="0">
                      <c:v>Arc de triomphe</c:v>
                    </c:pt>
                  </c:strCache>
                </c:strRef>
              </c:tx>
              <c:spPr/>
              <c:txPr>
                <a:bodyPr/>
                <a:lstStyle/>
                <a:p>
                  <a:pPr>
                    <a:defRPr sz="700" b="0" i="0" u="none" strike="noStrike" baseline="0">
                      <a:solidFill>
                        <a:srgbClr val="C0C0C0"/>
                      </a:solidFill>
                      <a:latin typeface="Arial"/>
                      <a:ea typeface="Arial"/>
                      <a:cs typeface="Arial"/>
                    </a:defRPr>
                  </a:pPr>
                  <a:endParaRPr lang="fr-FR"/>
                </a:p>
              </c:txPr>
              <c:showLegendKey val="0"/>
              <c:showVal val="0"/>
              <c:showCatName val="0"/>
              <c:showSerName val="0"/>
              <c:showPercent val="0"/>
              <c:showBubbleSize val="0"/>
              <c:extLst>
                <c:ext xmlns:c15="http://schemas.microsoft.com/office/drawing/2012/chart" uri="{CE6537A1-D6FC-4f65-9D91-7224C49458BB}">
                  <c15:dlblFieldTable>
                    <c15:dlblFTEntry>
                      <c15:txfldGUID>{78486C2E-01BB-424F-BD8B-2AB0113A115A}</c15:txfldGUID>
                      <c15:f>Trajecto!$D$161</c15:f>
                      <c15:dlblFieldTableCache>
                        <c:ptCount val="1"/>
                        <c:pt idx="0">
                          <c:v>Arc de triomphe</c:v>
                        </c:pt>
                      </c15:dlblFieldTableCache>
                    </c15:dlblFTEntry>
                  </c15:dlblFieldTable>
                  <c15:showDataLabelsRange val="0"/>
                </c:ext>
                <c:ext xmlns:c16="http://schemas.microsoft.com/office/drawing/2014/chart" uri="{C3380CC4-5D6E-409C-BE32-E72D297353CC}">
                  <c16:uniqueId val="{00000008-432A-49A9-9499-7ED3E32DDB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Trajecto!$D$162:$D$177</c:f>
              <c:numCache>
                <c:formatCode>0</c:formatCode>
                <c:ptCount val="16"/>
                <c:pt idx="0">
                  <c:v>86.828118452377439</c:v>
                </c:pt>
                <c:pt idx="1">
                  <c:v>109.82811845237744</c:v>
                </c:pt>
                <c:pt idx="2">
                  <c:v>109.82811845237744</c:v>
                </c:pt>
                <c:pt idx="3">
                  <c:v>86.828118452377439</c:v>
                </c:pt>
                <c:pt idx="4">
                  <c:v>109.82811845237744</c:v>
                </c:pt>
                <c:pt idx="5">
                  <c:v>109.82811845237744</c:v>
                </c:pt>
                <c:pt idx="6">
                  <c:v>94.828118452377439</c:v>
                </c:pt>
                <c:pt idx="7">
                  <c:v>94.828118452377439</c:v>
                </c:pt>
                <c:pt idx="8">
                  <c:v>109.82811845237744</c:v>
                </c:pt>
                <c:pt idx="9">
                  <c:v>94.828118452377439</c:v>
                </c:pt>
                <c:pt idx="10">
                  <c:v>94.428118452377433</c:v>
                </c:pt>
                <c:pt idx="11">
                  <c:v>93.628118452377436</c:v>
                </c:pt>
                <c:pt idx="12">
                  <c:v>92.828118452377439</c:v>
                </c:pt>
                <c:pt idx="13">
                  <c:v>91.828118452377439</c:v>
                </c:pt>
                <c:pt idx="14">
                  <c:v>90.628118452377436</c:v>
                </c:pt>
                <c:pt idx="15">
                  <c:v>86.828118452377439</c:v>
                </c:pt>
              </c:numCache>
            </c:numRef>
          </c:xVal>
          <c:yVal>
            <c:numRef>
              <c:f>Trajecto!$B$162:$B$177</c:f>
              <c:numCache>
                <c:formatCode>General</c:formatCode>
                <c:ptCount val="16"/>
                <c:pt idx="0">
                  <c:v>49</c:v>
                </c:pt>
                <c:pt idx="1">
                  <c:v>49</c:v>
                </c:pt>
                <c:pt idx="2">
                  <c:v>43</c:v>
                </c:pt>
                <c:pt idx="3">
                  <c:v>43</c:v>
                </c:pt>
                <c:pt idx="4">
                  <c:v>43</c:v>
                </c:pt>
                <c:pt idx="5">
                  <c:v>0.5</c:v>
                </c:pt>
                <c:pt idx="6">
                  <c:v>0.5</c:v>
                </c:pt>
                <c:pt idx="7">
                  <c:v>27</c:v>
                </c:pt>
                <c:pt idx="8">
                  <c:v>27</c:v>
                </c:pt>
                <c:pt idx="9">
                  <c:v>27</c:v>
                </c:pt>
                <c:pt idx="10">
                  <c:v>29</c:v>
                </c:pt>
                <c:pt idx="11">
                  <c:v>31</c:v>
                </c:pt>
                <c:pt idx="12">
                  <c:v>32</c:v>
                </c:pt>
                <c:pt idx="13">
                  <c:v>33</c:v>
                </c:pt>
                <c:pt idx="14">
                  <c:v>34</c:v>
                </c:pt>
                <c:pt idx="15">
                  <c:v>35</c:v>
                </c:pt>
              </c:numCache>
            </c:numRef>
          </c:yVal>
          <c:smooth val="0"/>
          <c:extLst>
            <c:ext xmlns:c16="http://schemas.microsoft.com/office/drawing/2014/chart" uri="{C3380CC4-5D6E-409C-BE32-E72D297353CC}">
              <c16:uniqueId val="{00000009-432A-49A9-9499-7ED3E32DDB07}"/>
            </c:ext>
          </c:extLst>
        </c:ser>
        <c:ser>
          <c:idx val="9"/>
          <c:order val="8"/>
          <c:tx>
            <c:strRef>
              <c:f>Trajecto!$F$162</c:f>
              <c:strCache>
                <c:ptCount val="1"/>
                <c:pt idx="0">
                  <c:v>Arc de triomphe</c:v>
                </c:pt>
              </c:strCache>
            </c:strRef>
          </c:tx>
          <c:spPr>
            <a:ln>
              <a:solidFill>
                <a:srgbClr val="C0C0C0"/>
              </a:solidFill>
            </a:ln>
          </c:spPr>
          <c:marker>
            <c:symbol val="none"/>
          </c:marker>
          <c:xVal>
            <c:numRef>
              <c:f>Trajecto!$F$163:$F$178</c:f>
              <c:numCache>
                <c:formatCode>0</c:formatCode>
                <c:ptCount val="16"/>
                <c:pt idx="0">
                  <c:v>86.828118452377439</c:v>
                </c:pt>
                <c:pt idx="1">
                  <c:v>63.828118452377439</c:v>
                </c:pt>
                <c:pt idx="2">
                  <c:v>63.828118452377439</c:v>
                </c:pt>
                <c:pt idx="3">
                  <c:v>86.828118452377439</c:v>
                </c:pt>
                <c:pt idx="4">
                  <c:v>63.828118452377439</c:v>
                </c:pt>
                <c:pt idx="5">
                  <c:v>63.828118452377439</c:v>
                </c:pt>
                <c:pt idx="6">
                  <c:v>78.828118452377439</c:v>
                </c:pt>
                <c:pt idx="7">
                  <c:v>78.828118452377439</c:v>
                </c:pt>
                <c:pt idx="8">
                  <c:v>63.828118452377439</c:v>
                </c:pt>
                <c:pt idx="9">
                  <c:v>78.828118452377439</c:v>
                </c:pt>
                <c:pt idx="10">
                  <c:v>79.228118452377444</c:v>
                </c:pt>
                <c:pt idx="11">
                  <c:v>80.028118452377441</c:v>
                </c:pt>
                <c:pt idx="12">
                  <c:v>80.828118452377439</c:v>
                </c:pt>
                <c:pt idx="13">
                  <c:v>81.828118452377439</c:v>
                </c:pt>
                <c:pt idx="14">
                  <c:v>83.028118452377441</c:v>
                </c:pt>
                <c:pt idx="15">
                  <c:v>86.828118452377439</c:v>
                </c:pt>
              </c:numCache>
            </c:numRef>
          </c:xVal>
          <c:yVal>
            <c:numRef>
              <c:f>Trajecto!$B$162:$B$177</c:f>
              <c:numCache>
                <c:formatCode>General</c:formatCode>
                <c:ptCount val="16"/>
                <c:pt idx="0">
                  <c:v>49</c:v>
                </c:pt>
                <c:pt idx="1">
                  <c:v>49</c:v>
                </c:pt>
                <c:pt idx="2">
                  <c:v>43</c:v>
                </c:pt>
                <c:pt idx="3">
                  <c:v>43</c:v>
                </c:pt>
                <c:pt idx="4">
                  <c:v>43</c:v>
                </c:pt>
                <c:pt idx="5">
                  <c:v>0.5</c:v>
                </c:pt>
                <c:pt idx="6">
                  <c:v>0.5</c:v>
                </c:pt>
                <c:pt idx="7">
                  <c:v>27</c:v>
                </c:pt>
                <c:pt idx="8">
                  <c:v>27</c:v>
                </c:pt>
                <c:pt idx="9">
                  <c:v>27</c:v>
                </c:pt>
                <c:pt idx="10">
                  <c:v>29</c:v>
                </c:pt>
                <c:pt idx="11">
                  <c:v>31</c:v>
                </c:pt>
                <c:pt idx="12">
                  <c:v>32</c:v>
                </c:pt>
                <c:pt idx="13">
                  <c:v>33</c:v>
                </c:pt>
                <c:pt idx="14">
                  <c:v>34</c:v>
                </c:pt>
                <c:pt idx="15">
                  <c:v>35</c:v>
                </c:pt>
              </c:numCache>
            </c:numRef>
          </c:yVal>
          <c:smooth val="0"/>
          <c:extLst>
            <c:ext xmlns:c16="http://schemas.microsoft.com/office/drawing/2014/chart" uri="{C3380CC4-5D6E-409C-BE32-E72D297353CC}">
              <c16:uniqueId val="{0000000A-432A-49A9-9499-7ED3E32DDB07}"/>
            </c:ext>
          </c:extLst>
        </c:ser>
        <c:ser>
          <c:idx val="10"/>
          <c:order val="9"/>
          <c:tx>
            <c:strRef>
              <c:f>Trajecto!$D$179</c:f>
              <c:strCache>
                <c:ptCount val="1"/>
                <c:pt idx="0">
                  <c:v>Tour Eiffel</c:v>
                </c:pt>
              </c:strCache>
            </c:strRef>
          </c:tx>
          <c:spPr>
            <a:ln>
              <a:solidFill>
                <a:srgbClr val="C0C0C0"/>
              </a:solidFill>
            </a:ln>
          </c:spPr>
          <c:marker>
            <c:symbol val="none"/>
          </c:marker>
          <c:dLbls>
            <c:dLbl>
              <c:idx val="6"/>
              <c:tx>
                <c:strRef>
                  <c:f>Trajecto!$D$179</c:f>
                  <c:strCache>
                    <c:ptCount val="1"/>
                    <c:pt idx="0">
                      <c:v>Tour Eiffel</c:v>
                    </c:pt>
                  </c:strCache>
                </c:strRef>
              </c:tx>
              <c:spPr/>
              <c:txPr>
                <a:bodyPr/>
                <a:lstStyle/>
                <a:p>
                  <a:pPr>
                    <a:defRPr sz="700" b="0" i="0" u="none" strike="noStrike" baseline="0">
                      <a:solidFill>
                        <a:srgbClr val="C0C0C0"/>
                      </a:solidFill>
                      <a:latin typeface="Arial"/>
                      <a:ea typeface="Arial"/>
                      <a:cs typeface="Arial"/>
                    </a:defRPr>
                  </a:pPr>
                  <a:endParaRPr lang="fr-FR"/>
                </a:p>
              </c:txPr>
              <c:showLegendKey val="0"/>
              <c:showVal val="0"/>
              <c:showCatName val="0"/>
              <c:showSerName val="0"/>
              <c:showPercent val="0"/>
              <c:showBubbleSize val="0"/>
              <c:extLst>
                <c:ext xmlns:c15="http://schemas.microsoft.com/office/drawing/2012/chart" uri="{CE6537A1-D6FC-4f65-9D91-7224C49458BB}">
                  <c15:dlblFieldTable>
                    <c15:dlblFTEntry>
                      <c15:txfldGUID>{9AD3F184-41B0-4022-8F94-8BAA156C9106}</c15:txfldGUID>
                      <c15:f>Trajecto!$D$179</c15:f>
                      <c15:dlblFieldTableCache>
                        <c:ptCount val="1"/>
                        <c:pt idx="0">
                          <c:v>Tour Eiffel</c:v>
                        </c:pt>
                      </c15:dlblFieldTableCache>
                    </c15:dlblFTEntry>
                  </c15:dlblFieldTable>
                  <c15:showDataLabelsRange val="0"/>
                </c:ext>
                <c:ext xmlns:c16="http://schemas.microsoft.com/office/drawing/2014/chart" uri="{C3380CC4-5D6E-409C-BE32-E72D297353CC}">
                  <c16:uniqueId val="{0000000B-432A-49A9-9499-7ED3E32DDB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Trajecto!$D$180:$D$196</c:f>
              <c:numCache>
                <c:formatCode>0</c:formatCode>
                <c:ptCount val="17"/>
                <c:pt idx="0">
                  <c:v>86.828118452377439</c:v>
                </c:pt>
                <c:pt idx="1">
                  <c:v>86.828118452377439</c:v>
                </c:pt>
                <c:pt idx="2">
                  <c:v>96.828118452377439</c:v>
                </c:pt>
                <c:pt idx="3">
                  <c:v>86.828118452377439</c:v>
                </c:pt>
                <c:pt idx="4">
                  <c:v>96.828118452377439</c:v>
                </c:pt>
                <c:pt idx="5">
                  <c:v>99.828118452377439</c:v>
                </c:pt>
                <c:pt idx="6">
                  <c:v>103.82811845237744</c:v>
                </c:pt>
                <c:pt idx="7">
                  <c:v>106.82811845237744</c:v>
                </c:pt>
                <c:pt idx="8">
                  <c:v>111.82811845237744</c:v>
                </c:pt>
                <c:pt idx="9">
                  <c:v>116.82811845237744</c:v>
                </c:pt>
                <c:pt idx="10">
                  <c:v>122.82811845237744</c:v>
                </c:pt>
                <c:pt idx="11">
                  <c:v>134.82811845237745</c:v>
                </c:pt>
                <c:pt idx="12">
                  <c:v>148.82811845237745</c:v>
                </c:pt>
                <c:pt idx="13">
                  <c:v>123.82811845237744</c:v>
                </c:pt>
                <c:pt idx="14">
                  <c:v>116.82811845237744</c:v>
                </c:pt>
                <c:pt idx="15">
                  <c:v>101.82811845237744</c:v>
                </c:pt>
                <c:pt idx="16">
                  <c:v>86.828118452377439</c:v>
                </c:pt>
              </c:numCache>
            </c:numRef>
          </c:xVal>
          <c:yVal>
            <c:numRef>
              <c:f>Trajecto!$B$180:$B$196</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C-432A-49A9-9499-7ED3E32DDB07}"/>
            </c:ext>
          </c:extLst>
        </c:ser>
        <c:ser>
          <c:idx val="11"/>
          <c:order val="10"/>
          <c:tx>
            <c:strRef>
              <c:f>Trajecto!$F$180</c:f>
              <c:strCache>
                <c:ptCount val="1"/>
                <c:pt idx="0">
                  <c:v>Tour Eiffel</c:v>
                </c:pt>
              </c:strCache>
            </c:strRef>
          </c:tx>
          <c:spPr>
            <a:ln>
              <a:solidFill>
                <a:srgbClr val="C0C0C0"/>
              </a:solidFill>
            </a:ln>
          </c:spPr>
          <c:marker>
            <c:symbol val="none"/>
          </c:marker>
          <c:xVal>
            <c:numRef>
              <c:f>Trajecto!$F$181:$F$197</c:f>
              <c:numCache>
                <c:formatCode>0</c:formatCode>
                <c:ptCount val="17"/>
                <c:pt idx="0">
                  <c:v>86.828118452377439</c:v>
                </c:pt>
                <c:pt idx="1">
                  <c:v>86.828118452377439</c:v>
                </c:pt>
                <c:pt idx="2">
                  <c:v>76.828118452377439</c:v>
                </c:pt>
                <c:pt idx="3">
                  <c:v>86.828118452377439</c:v>
                </c:pt>
                <c:pt idx="4">
                  <c:v>76.828118452377439</c:v>
                </c:pt>
                <c:pt idx="5">
                  <c:v>73.828118452377439</c:v>
                </c:pt>
                <c:pt idx="6">
                  <c:v>69.828118452377439</c:v>
                </c:pt>
                <c:pt idx="7">
                  <c:v>66.828118452377439</c:v>
                </c:pt>
                <c:pt idx="8">
                  <c:v>61.828118452377439</c:v>
                </c:pt>
                <c:pt idx="9">
                  <c:v>56.828118452377439</c:v>
                </c:pt>
                <c:pt idx="10">
                  <c:v>50.828118452377439</c:v>
                </c:pt>
                <c:pt idx="11">
                  <c:v>38.828118452377439</c:v>
                </c:pt>
                <c:pt idx="12">
                  <c:v>24.828118452377439</c:v>
                </c:pt>
                <c:pt idx="13">
                  <c:v>49.828118452377439</c:v>
                </c:pt>
                <c:pt idx="14">
                  <c:v>56.828118452377439</c:v>
                </c:pt>
                <c:pt idx="15">
                  <c:v>71.828118452377439</c:v>
                </c:pt>
                <c:pt idx="16">
                  <c:v>86.828118452377439</c:v>
                </c:pt>
              </c:numCache>
            </c:numRef>
          </c:xVal>
          <c:yVal>
            <c:numRef>
              <c:f>Trajecto!$B$180:$B$196</c:f>
              <c:numCache>
                <c:formatCode>General</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D-432A-49A9-9499-7ED3E32DDB07}"/>
            </c:ext>
          </c:extLst>
        </c:ser>
        <c:ser>
          <c:idx val="12"/>
          <c:order val="11"/>
          <c:tx>
            <c:strRef>
              <c:f>Trajecto!$D$179</c:f>
              <c:strCache>
                <c:ptCount val="1"/>
                <c:pt idx="0">
                  <c:v>Tour Eiffel</c:v>
                </c:pt>
              </c:strCache>
            </c:strRef>
          </c:tx>
          <c:spPr>
            <a:ln>
              <a:solidFill>
                <a:srgbClr val="C0C0C0"/>
              </a:solidFill>
            </a:ln>
          </c:spPr>
          <c:marker>
            <c:symbol val="none"/>
          </c:marker>
          <c:xVal>
            <c:numRef>
              <c:f>Trajecto!$D$197:$D$200</c:f>
              <c:numCache>
                <c:formatCode>0</c:formatCode>
                <c:ptCount val="4"/>
                <c:pt idx="0">
                  <c:v>86.828118452377439</c:v>
                </c:pt>
                <c:pt idx="1">
                  <c:v>103.82811845237744</c:v>
                </c:pt>
                <c:pt idx="2">
                  <c:v>97.828118452377439</c:v>
                </c:pt>
                <c:pt idx="3">
                  <c:v>86.828118452377439</c:v>
                </c:pt>
              </c:numCache>
            </c:numRef>
          </c:xVal>
          <c:yVal>
            <c:numRef>
              <c:f>Trajecto!$B$197:$B$200</c:f>
              <c:numCache>
                <c:formatCode>General</c:formatCode>
                <c:ptCount val="4"/>
                <c:pt idx="0">
                  <c:v>#N/A</c:v>
                </c:pt>
                <c:pt idx="1">
                  <c:v>#N/A</c:v>
                </c:pt>
                <c:pt idx="2">
                  <c:v>#N/A</c:v>
                </c:pt>
                <c:pt idx="3">
                  <c:v>#N/A</c:v>
                </c:pt>
              </c:numCache>
            </c:numRef>
          </c:yVal>
          <c:smooth val="0"/>
          <c:extLst>
            <c:ext xmlns:c16="http://schemas.microsoft.com/office/drawing/2014/chart" uri="{C3380CC4-5D6E-409C-BE32-E72D297353CC}">
              <c16:uniqueId val="{0000000E-432A-49A9-9499-7ED3E32DDB07}"/>
            </c:ext>
          </c:extLst>
        </c:ser>
        <c:ser>
          <c:idx val="13"/>
          <c:order val="12"/>
          <c:tx>
            <c:strRef>
              <c:f>Trajecto!$F$180</c:f>
              <c:strCache>
                <c:ptCount val="1"/>
                <c:pt idx="0">
                  <c:v>Tour Eiffel</c:v>
                </c:pt>
              </c:strCache>
            </c:strRef>
          </c:tx>
          <c:spPr>
            <a:ln>
              <a:solidFill>
                <a:srgbClr val="C0C0C0"/>
              </a:solidFill>
            </a:ln>
          </c:spPr>
          <c:marker>
            <c:symbol val="none"/>
          </c:marker>
          <c:xVal>
            <c:numRef>
              <c:f>Trajecto!$F$198:$F$201</c:f>
              <c:numCache>
                <c:formatCode>0</c:formatCode>
                <c:ptCount val="4"/>
                <c:pt idx="0">
                  <c:v>86.828118452377439</c:v>
                </c:pt>
                <c:pt idx="1">
                  <c:v>69.828118452377439</c:v>
                </c:pt>
                <c:pt idx="2">
                  <c:v>75.828118452377439</c:v>
                </c:pt>
                <c:pt idx="3">
                  <c:v>86.828118452377439</c:v>
                </c:pt>
              </c:numCache>
            </c:numRef>
          </c:xVal>
          <c:yVal>
            <c:numRef>
              <c:f>Trajecto!$B$197:$B$200</c:f>
              <c:numCache>
                <c:formatCode>General</c:formatCode>
                <c:ptCount val="4"/>
                <c:pt idx="0">
                  <c:v>#N/A</c:v>
                </c:pt>
                <c:pt idx="1">
                  <c:v>#N/A</c:v>
                </c:pt>
                <c:pt idx="2">
                  <c:v>#N/A</c:v>
                </c:pt>
                <c:pt idx="3">
                  <c:v>#N/A</c:v>
                </c:pt>
              </c:numCache>
            </c:numRef>
          </c:yVal>
          <c:smooth val="0"/>
          <c:extLst>
            <c:ext xmlns:c16="http://schemas.microsoft.com/office/drawing/2014/chart" uri="{C3380CC4-5D6E-409C-BE32-E72D297353CC}">
              <c16:uniqueId val="{0000000F-432A-49A9-9499-7ED3E32DDB07}"/>
            </c:ext>
          </c:extLst>
        </c:ser>
        <c:ser>
          <c:idx val="3"/>
          <c:order val="13"/>
          <c:tx>
            <c:strRef>
              <c:f>Trajecto!$B$109</c:f>
              <c:strCache>
                <c:ptCount val="1"/>
                <c:pt idx="0">
                  <c:v>Fusée sous parachute</c:v>
                </c:pt>
              </c:strCache>
            </c:strRef>
          </c:tx>
          <c:spPr>
            <a:ln>
              <a:solidFill>
                <a:srgbClr val="008000"/>
              </a:solidFill>
            </a:ln>
          </c:spPr>
          <c:marker>
            <c:symbol val="none"/>
          </c:marker>
          <c:dLbls>
            <c:dLbl>
              <c:idx val="1"/>
              <c:tx>
                <c:strRef>
                  <c:f>Trajecto!$B$109</c:f>
                  <c:strCache>
                    <c:ptCount val="1"/>
                    <c:pt idx="0">
                      <c:v>Fusée sous parachute</c:v>
                    </c:pt>
                  </c:strCache>
                </c:strRef>
              </c:tx>
              <c:spPr/>
              <c:txPr>
                <a:bodyPr/>
                <a:lstStyle/>
                <a:p>
                  <a:pPr>
                    <a:defRPr sz="700" b="1" i="0" u="none" strike="noStrike" baseline="0">
                      <a:solidFill>
                        <a:srgbClr val="008000"/>
                      </a:solidFill>
                      <a:latin typeface="Arial"/>
                      <a:ea typeface="Arial"/>
                      <a:cs typeface="Arial"/>
                    </a:defRPr>
                  </a:pPr>
                  <a:endParaRPr lang="fr-FR"/>
                </a:p>
              </c:txPr>
              <c:showLegendKey val="0"/>
              <c:showVal val="0"/>
              <c:showCatName val="0"/>
              <c:showSerName val="0"/>
              <c:showPercent val="0"/>
              <c:showBubbleSize val="0"/>
              <c:extLst>
                <c:ext xmlns:c15="http://schemas.microsoft.com/office/drawing/2012/chart" uri="{CE6537A1-D6FC-4f65-9D91-7224C49458BB}">
                  <c15:dlblFieldTable>
                    <c15:dlblFTEntry>
                      <c15:txfldGUID>{CF34E18E-BF30-434D-964A-78AA008C68B9}</c15:txfldGUID>
                      <c15:f>Trajecto!$B$109</c15:f>
                      <c15:dlblFieldTableCache>
                        <c:ptCount val="1"/>
                        <c:pt idx="0">
                          <c:v>Fusée sous parachute</c:v>
                        </c:pt>
                      </c15:dlblFieldTableCache>
                    </c15:dlblFTEntry>
                  </c15:dlblFieldTable>
                  <c15:showDataLabelsRange val="0"/>
                </c:ext>
                <c:ext xmlns:c16="http://schemas.microsoft.com/office/drawing/2014/chart" uri="{C3380CC4-5D6E-409C-BE32-E72D297353CC}">
                  <c16:uniqueId val="{00000010-432A-49A9-9499-7ED3E32DDB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Trajecto!$B$124:$B$130</c:f>
              <c:numCache>
                <c:formatCode>0</c:formatCode>
                <c:ptCount val="7"/>
                <c:pt idx="0">
                  <c:v>96.244846724568077</c:v>
                </c:pt>
                <c:pt idx="1">
                  <c:v>96.244846724568077</c:v>
                </c:pt>
                <c:pt idx="2">
                  <c:v>96.244846724568077</c:v>
                </c:pt>
                <c:pt idx="3">
                  <c:v>103.54556257842756</c:v>
                </c:pt>
                <c:pt idx="4">
                  <c:v>96.244846724568077</c:v>
                </c:pt>
                <c:pt idx="5">
                  <c:v>88.944130870708591</c:v>
                </c:pt>
                <c:pt idx="6">
                  <c:v>96.244846724568077</c:v>
                </c:pt>
              </c:numCache>
            </c:numRef>
          </c:xVal>
          <c:yVal>
            <c:numRef>
              <c:f>Trajecto!$C$124:$C$130</c:f>
              <c:numCache>
                <c:formatCode>0</c:formatCode>
                <c:ptCount val="7"/>
                <c:pt idx="0">
                  <c:v>292.02863415437969</c:v>
                </c:pt>
                <c:pt idx="1">
                  <c:v>146.01431707718984</c:v>
                </c:pt>
                <c:pt idx="2">
                  <c:v>0</c:v>
                </c:pt>
                <c:pt idx="3">
                  <c:v>14.601431707718984</c:v>
                </c:pt>
                <c:pt idx="4">
                  <c:v>0</c:v>
                </c:pt>
                <c:pt idx="5">
                  <c:v>14.601431707718984</c:v>
                </c:pt>
                <c:pt idx="6" formatCode="General">
                  <c:v>0</c:v>
                </c:pt>
              </c:numCache>
            </c:numRef>
          </c:yVal>
          <c:smooth val="0"/>
          <c:extLst>
            <c:ext xmlns:c16="http://schemas.microsoft.com/office/drawing/2014/chart" uri="{C3380CC4-5D6E-409C-BE32-E72D297353CC}">
              <c16:uniqueId val="{00000011-432A-49A9-9499-7ED3E32DDB07}"/>
            </c:ext>
          </c:extLst>
        </c:ser>
        <c:dLbls>
          <c:showLegendKey val="0"/>
          <c:showVal val="0"/>
          <c:showCatName val="0"/>
          <c:showSerName val="0"/>
          <c:showPercent val="0"/>
          <c:showBubbleSize val="0"/>
        </c:dLbls>
        <c:axId val="148241024"/>
        <c:axId val="149054208"/>
      </c:scatterChart>
      <c:valAx>
        <c:axId val="148241024"/>
        <c:scaling>
          <c:orientation val="minMax"/>
          <c:min val="0"/>
        </c:scaling>
        <c:delete val="0"/>
        <c:axPos val="b"/>
        <c:majorGridlines>
          <c:spPr>
            <a:ln w="3175">
              <a:solidFill>
                <a:srgbClr val="000000"/>
              </a:solidFill>
              <a:prstDash val="sysDash"/>
            </a:ln>
          </c:spPr>
        </c:majorGridlines>
        <c:title>
          <c:tx>
            <c:strRef>
              <c:f>Trajecto!$B$112</c:f>
              <c:strCache>
                <c:ptCount val="1"/>
                <c:pt idx="0">
                  <c:v>Portée x [m]</c:v>
                </c:pt>
              </c:strCache>
            </c:strRef>
          </c:tx>
          <c:layout>
            <c:manualLayout>
              <c:xMode val="edge"/>
              <c:yMode val="edge"/>
              <c:x val="0.56464627732344286"/>
              <c:y val="0.84829693458129063"/>
            </c:manualLayout>
          </c:layout>
          <c:overlay val="0"/>
          <c:spPr>
            <a:solidFill>
              <a:srgbClr val="FFFFFF"/>
            </a:solidFill>
            <a:ln w="25400">
              <a:noFill/>
            </a:ln>
          </c:spPr>
          <c:txPr>
            <a:bodyPr/>
            <a:lstStyle/>
            <a:p>
              <a:pPr>
                <a:defRPr sz="800" b="1" i="0" u="none" strike="noStrike" baseline="0">
                  <a:solidFill>
                    <a:srgbClr val="0000FF"/>
                  </a:solidFill>
                  <a:latin typeface="Arial"/>
                  <a:ea typeface="Arial"/>
                  <a:cs typeface="Arial"/>
                </a:defRPr>
              </a:pPr>
              <a:endParaRPr lang="fr-FR"/>
            </a:p>
          </c:tx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9054208"/>
        <c:crosses val="autoZero"/>
        <c:crossBetween val="midCat"/>
      </c:valAx>
      <c:valAx>
        <c:axId val="149054208"/>
        <c:scaling>
          <c:orientation val="minMax"/>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FF"/>
                    </a:solidFill>
                    <a:latin typeface="Arial"/>
                    <a:ea typeface="Arial"/>
                    <a:cs typeface="Arial"/>
                  </a:defRPr>
                </a:pPr>
                <a:r>
                  <a:rPr lang="fr-FR"/>
                  <a:t>Altitude z [m]</a:t>
                </a:r>
              </a:p>
            </c:rich>
          </c:tx>
          <c:layout>
            <c:manualLayout>
              <c:xMode val="edge"/>
              <c:yMode val="edge"/>
              <c:x val="8.1818320007296413E-2"/>
              <c:y val="6.8111391736410315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8241024"/>
        <c:crosses val="autoZero"/>
        <c:crossBetween val="midCat"/>
      </c:valAx>
      <c:spPr>
        <a:gradFill rotWithShape="0">
          <a:gsLst>
            <a:gs pos="0">
              <a:srgbClr val="99CCFF"/>
            </a:gs>
            <a:gs pos="100000">
              <a:srgbClr val="FFFFFF"/>
            </a:gs>
          </a:gsLst>
          <a:lin ang="5400000" scaled="1"/>
        </a:gra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paperSize="9" firstPageNumber="0"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Trajecto!$B$114</c:f>
          <c:strCache>
            <c:ptCount val="1"/>
            <c:pt idx="0">
              <c:v>Altitude z  /  Temps</c:v>
            </c:pt>
          </c:strCache>
        </c:strRef>
      </c:tx>
      <c:layout>
        <c:manualLayout>
          <c:xMode val="edge"/>
          <c:yMode val="edge"/>
          <c:x val="0.57666688909649"/>
          <c:y val="3.7151818286865097E-2"/>
        </c:manualLayout>
      </c:layout>
      <c:overlay val="0"/>
      <c:spPr>
        <a:noFill/>
        <a:ln w="25400">
          <a:noFill/>
        </a:ln>
      </c:spPr>
      <c:txPr>
        <a:bodyPr/>
        <a:lstStyle/>
        <a:p>
          <a:pPr>
            <a:defRPr sz="800" b="1" i="0" u="none" strike="noStrike" baseline="0">
              <a:solidFill>
                <a:srgbClr val="0000FF"/>
              </a:solidFill>
              <a:latin typeface="Arial"/>
              <a:ea typeface="Arial"/>
              <a:cs typeface="Arial"/>
            </a:defRPr>
          </a:pPr>
          <a:endParaRPr lang="fr-FR"/>
        </a:p>
      </c:txPr>
    </c:title>
    <c:autoTitleDeleted val="0"/>
    <c:plotArea>
      <c:layout>
        <c:manualLayout>
          <c:layoutTarget val="inner"/>
          <c:xMode val="edge"/>
          <c:yMode val="edge"/>
          <c:x val="7.6666916233451413E-2"/>
          <c:y val="3.5608360198500402E-2"/>
          <c:w val="0.89333624132890843"/>
          <c:h val="0.89614373166225958"/>
        </c:manualLayout>
      </c:layout>
      <c:scatterChart>
        <c:scatterStyle val="lineMarker"/>
        <c:varyColors val="0"/>
        <c:ser>
          <c:idx val="4"/>
          <c:order val="0"/>
          <c:tx>
            <c:v>Point invisible pour mise à l'echelle</c:v>
          </c:tx>
          <c:spPr>
            <a:ln w="28575">
              <a:noFill/>
            </a:ln>
          </c:spPr>
          <c:marker>
            <c:symbol val="none"/>
          </c:marker>
          <c:xVal>
            <c:numLit>
              <c:formatCode>General</c:formatCode>
              <c:ptCount val="1"/>
              <c:pt idx="0">
                <c:v>0</c:v>
              </c:pt>
            </c:numLit>
          </c:xVal>
          <c:yVal>
            <c:numRef>
              <c:f>Trajecto!$B$121</c:f>
              <c:numCache>
                <c:formatCode>0</c:formatCode>
                <c:ptCount val="1"/>
                <c:pt idx="0">
                  <c:v>296.10396047690489</c:v>
                </c:pt>
              </c:numCache>
            </c:numRef>
          </c:yVal>
          <c:smooth val="0"/>
          <c:extLst>
            <c:ext xmlns:c16="http://schemas.microsoft.com/office/drawing/2014/chart" uri="{C3380CC4-5D6E-409C-BE32-E72D297353CC}">
              <c16:uniqueId val="{00000000-4C7F-469F-ADED-1B0B28F452E1}"/>
            </c:ext>
          </c:extLst>
        </c:ser>
        <c:ser>
          <c:idx val="0"/>
          <c:order val="1"/>
          <c:tx>
            <c:v>1 point par seconde</c:v>
          </c:tx>
          <c:spPr>
            <a:ln w="28575">
              <a:noFill/>
            </a:ln>
          </c:spPr>
          <c:marker>
            <c:symbol val="plus"/>
            <c:size val="7"/>
            <c:spPr>
              <a:noFill/>
              <a:ln>
                <a:solidFill>
                  <a:srgbClr val="000000"/>
                </a:solidFill>
                <a:prstDash val="solid"/>
              </a:ln>
            </c:spPr>
          </c:marker>
          <c:xVal>
            <c:numRef>
              <c:f>Calculs!$AC$4:$AC$1004</c:f>
              <c:numCache>
                <c:formatCode>0</c:formatCode>
                <c:ptCount val="1001"/>
                <c:pt idx="0">
                  <c:v>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1.0000000000000007</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2.0000000000000013</c:v>
                </c:pt>
                <c:pt idx="201">
                  <c:v>#N/A</c:v>
                </c:pt>
                <c:pt idx="202">
                  <c:v>#N/A</c:v>
                </c:pt>
                <c:pt idx="203">
                  <c:v>#N/A</c:v>
                </c:pt>
                <c:pt idx="204">
                  <c:v>#N/A</c:v>
                </c:pt>
                <c:pt idx="205">
                  <c:v>#N/A</c:v>
                </c:pt>
                <c:pt idx="206">
                  <c:v>#N/A</c:v>
                </c:pt>
                <c:pt idx="207">
                  <c:v>#N/A</c:v>
                </c:pt>
                <c:pt idx="208">
                  <c:v>#N/A</c:v>
                </c:pt>
                <c:pt idx="209">
                  <c:v>#N/A</c:v>
                </c:pt>
                <c:pt idx="210">
                  <c:v>3.0000000000000022</c:v>
                </c:pt>
                <c:pt idx="211">
                  <c:v>#N/A</c:v>
                </c:pt>
                <c:pt idx="212">
                  <c:v>#N/A</c:v>
                </c:pt>
                <c:pt idx="213">
                  <c:v>#N/A</c:v>
                </c:pt>
                <c:pt idx="214">
                  <c:v>#N/A</c:v>
                </c:pt>
                <c:pt idx="215">
                  <c:v>#N/A</c:v>
                </c:pt>
                <c:pt idx="216">
                  <c:v>#N/A</c:v>
                </c:pt>
                <c:pt idx="217">
                  <c:v>#N/A</c:v>
                </c:pt>
                <c:pt idx="218">
                  <c:v>#N/A</c:v>
                </c:pt>
                <c:pt idx="219">
                  <c:v>#N/A</c:v>
                </c:pt>
                <c:pt idx="220">
                  <c:v>4.0000000000000027</c:v>
                </c:pt>
                <c:pt idx="221">
                  <c:v>#N/A</c:v>
                </c:pt>
                <c:pt idx="222">
                  <c:v>#N/A</c:v>
                </c:pt>
                <c:pt idx="223">
                  <c:v>#N/A</c:v>
                </c:pt>
                <c:pt idx="224">
                  <c:v>#N/A</c:v>
                </c:pt>
                <c:pt idx="225">
                  <c:v>#N/A</c:v>
                </c:pt>
                <c:pt idx="226">
                  <c:v>#N/A</c:v>
                </c:pt>
                <c:pt idx="227">
                  <c:v>#N/A</c:v>
                </c:pt>
                <c:pt idx="228">
                  <c:v>#N/A</c:v>
                </c:pt>
                <c:pt idx="229">
                  <c:v>#N/A</c:v>
                </c:pt>
                <c:pt idx="230">
                  <c:v>4.9999999999999991</c:v>
                </c:pt>
                <c:pt idx="231">
                  <c:v>#N/A</c:v>
                </c:pt>
                <c:pt idx="232">
                  <c:v>#N/A</c:v>
                </c:pt>
                <c:pt idx="233">
                  <c:v>#N/A</c:v>
                </c:pt>
                <c:pt idx="234">
                  <c:v>#N/A</c:v>
                </c:pt>
                <c:pt idx="235">
                  <c:v>#N/A</c:v>
                </c:pt>
                <c:pt idx="236">
                  <c:v>#N/A</c:v>
                </c:pt>
                <c:pt idx="237">
                  <c:v>#N/A</c:v>
                </c:pt>
                <c:pt idx="238">
                  <c:v>#N/A</c:v>
                </c:pt>
                <c:pt idx="239">
                  <c:v>#N/A</c:v>
                </c:pt>
                <c:pt idx="240">
                  <c:v>5.9999999999999956</c:v>
                </c:pt>
                <c:pt idx="241">
                  <c:v>#N/A</c:v>
                </c:pt>
                <c:pt idx="242">
                  <c:v>#N/A</c:v>
                </c:pt>
                <c:pt idx="243">
                  <c:v>#N/A</c:v>
                </c:pt>
                <c:pt idx="244">
                  <c:v>#N/A</c:v>
                </c:pt>
                <c:pt idx="245">
                  <c:v>#N/A</c:v>
                </c:pt>
                <c:pt idx="246">
                  <c:v>#N/A</c:v>
                </c:pt>
                <c:pt idx="247">
                  <c:v>#N/A</c:v>
                </c:pt>
                <c:pt idx="248">
                  <c:v>#N/A</c:v>
                </c:pt>
                <c:pt idx="249">
                  <c:v>#N/A</c:v>
                </c:pt>
                <c:pt idx="250">
                  <c:v>6.999999999999992</c:v>
                </c:pt>
                <c:pt idx="251">
                  <c:v>#N/A</c:v>
                </c:pt>
                <c:pt idx="252">
                  <c:v>#N/A</c:v>
                </c:pt>
                <c:pt idx="253">
                  <c:v>#N/A</c:v>
                </c:pt>
                <c:pt idx="254">
                  <c:v>#N/A</c:v>
                </c:pt>
                <c:pt idx="255">
                  <c:v>#N/A</c:v>
                </c:pt>
                <c:pt idx="256">
                  <c:v>#N/A</c:v>
                </c:pt>
                <c:pt idx="257">
                  <c:v>#N/A</c:v>
                </c:pt>
                <c:pt idx="258">
                  <c:v>#N/A</c:v>
                </c:pt>
                <c:pt idx="259">
                  <c:v>#N/A</c:v>
                </c:pt>
                <c:pt idx="260">
                  <c:v>7.9999999999999885</c:v>
                </c:pt>
                <c:pt idx="261">
                  <c:v>#N/A</c:v>
                </c:pt>
                <c:pt idx="262">
                  <c:v>#N/A</c:v>
                </c:pt>
                <c:pt idx="263">
                  <c:v>#N/A</c:v>
                </c:pt>
                <c:pt idx="264">
                  <c:v>#N/A</c:v>
                </c:pt>
                <c:pt idx="265">
                  <c:v>#N/A</c:v>
                </c:pt>
                <c:pt idx="266">
                  <c:v>#N/A</c:v>
                </c:pt>
                <c:pt idx="267">
                  <c:v>#N/A</c:v>
                </c:pt>
                <c:pt idx="268">
                  <c:v>#N/A</c:v>
                </c:pt>
                <c:pt idx="269">
                  <c:v>#N/A</c:v>
                </c:pt>
                <c:pt idx="270">
                  <c:v>8.9999999999999858</c:v>
                </c:pt>
                <c:pt idx="271">
                  <c:v>#N/A</c:v>
                </c:pt>
                <c:pt idx="272">
                  <c:v>#N/A</c:v>
                </c:pt>
                <c:pt idx="273">
                  <c:v>#N/A</c:v>
                </c:pt>
                <c:pt idx="274">
                  <c:v>#N/A</c:v>
                </c:pt>
                <c:pt idx="275">
                  <c:v>#N/A</c:v>
                </c:pt>
                <c:pt idx="276">
                  <c:v>#N/A</c:v>
                </c:pt>
                <c:pt idx="277">
                  <c:v>#N/A</c:v>
                </c:pt>
                <c:pt idx="278">
                  <c:v>#N/A</c:v>
                </c:pt>
                <c:pt idx="279">
                  <c:v>#N/A</c:v>
                </c:pt>
                <c:pt idx="280">
                  <c:v>9.9999999999999822</c:v>
                </c:pt>
                <c:pt idx="281">
                  <c:v>#N/A</c:v>
                </c:pt>
                <c:pt idx="282">
                  <c:v>#N/A</c:v>
                </c:pt>
                <c:pt idx="283">
                  <c:v>#N/A</c:v>
                </c:pt>
                <c:pt idx="284">
                  <c:v>#N/A</c:v>
                </c:pt>
                <c:pt idx="285">
                  <c:v>#N/A</c:v>
                </c:pt>
                <c:pt idx="286">
                  <c:v>#N/A</c:v>
                </c:pt>
                <c:pt idx="287">
                  <c:v>#N/A</c:v>
                </c:pt>
                <c:pt idx="288">
                  <c:v>#N/A</c:v>
                </c:pt>
                <c:pt idx="289">
                  <c:v>#N/A</c:v>
                </c:pt>
                <c:pt idx="290">
                  <c:v>10.999999999999979</c:v>
                </c:pt>
                <c:pt idx="291">
                  <c:v>#N/A</c:v>
                </c:pt>
                <c:pt idx="292">
                  <c:v>#N/A</c:v>
                </c:pt>
                <c:pt idx="293">
                  <c:v>#N/A</c:v>
                </c:pt>
                <c:pt idx="294">
                  <c:v>#N/A</c:v>
                </c:pt>
                <c:pt idx="295">
                  <c:v>#N/A</c:v>
                </c:pt>
                <c:pt idx="296">
                  <c:v>#N/A</c:v>
                </c:pt>
                <c:pt idx="297">
                  <c:v>#N/A</c:v>
                </c:pt>
                <c:pt idx="298">
                  <c:v>#N/A</c:v>
                </c:pt>
                <c:pt idx="299">
                  <c:v>#N/A</c:v>
                </c:pt>
                <c:pt idx="300">
                  <c:v>11.999999999999975</c:v>
                </c:pt>
                <c:pt idx="301">
                  <c:v>#N/A</c:v>
                </c:pt>
                <c:pt idx="302">
                  <c:v>#N/A</c:v>
                </c:pt>
                <c:pt idx="303">
                  <c:v>#N/A</c:v>
                </c:pt>
                <c:pt idx="304">
                  <c:v>#N/A</c:v>
                </c:pt>
                <c:pt idx="305">
                  <c:v>#N/A</c:v>
                </c:pt>
                <c:pt idx="306">
                  <c:v>#N/A</c:v>
                </c:pt>
                <c:pt idx="307">
                  <c:v>#N/A</c:v>
                </c:pt>
                <c:pt idx="308">
                  <c:v>#N/A</c:v>
                </c:pt>
                <c:pt idx="309">
                  <c:v>#N/A</c:v>
                </c:pt>
                <c:pt idx="310">
                  <c:v>12.999999999999972</c:v>
                </c:pt>
                <c:pt idx="311">
                  <c:v>#N/A</c:v>
                </c:pt>
                <c:pt idx="312">
                  <c:v>#N/A</c:v>
                </c:pt>
                <c:pt idx="313">
                  <c:v>#N/A</c:v>
                </c:pt>
                <c:pt idx="314">
                  <c:v>#N/A</c:v>
                </c:pt>
                <c:pt idx="315">
                  <c:v>#N/A</c:v>
                </c:pt>
                <c:pt idx="316">
                  <c:v>#N/A</c:v>
                </c:pt>
                <c:pt idx="317">
                  <c:v>#N/A</c:v>
                </c:pt>
                <c:pt idx="318">
                  <c:v>#N/A</c:v>
                </c:pt>
                <c:pt idx="319">
                  <c:v>#N/A</c:v>
                </c:pt>
                <c:pt idx="320">
                  <c:v>13.999999999999968</c:v>
                </c:pt>
                <c:pt idx="321">
                  <c:v>#N/A</c:v>
                </c:pt>
                <c:pt idx="322">
                  <c:v>#N/A</c:v>
                </c:pt>
                <c:pt idx="323">
                  <c:v>#N/A</c:v>
                </c:pt>
                <c:pt idx="324">
                  <c:v>#N/A</c:v>
                </c:pt>
                <c:pt idx="325">
                  <c:v>#N/A</c:v>
                </c:pt>
                <c:pt idx="326">
                  <c:v>#N/A</c:v>
                </c:pt>
                <c:pt idx="327">
                  <c:v>#N/A</c:v>
                </c:pt>
                <c:pt idx="328">
                  <c:v>#N/A</c:v>
                </c:pt>
                <c:pt idx="329">
                  <c:v>#N/A</c:v>
                </c:pt>
                <c:pt idx="330">
                  <c:v>14.999999999999964</c:v>
                </c:pt>
                <c:pt idx="331">
                  <c:v>#N/A</c:v>
                </c:pt>
                <c:pt idx="332">
                  <c:v>#N/A</c:v>
                </c:pt>
                <c:pt idx="333">
                  <c:v>#N/A</c:v>
                </c:pt>
                <c:pt idx="334">
                  <c:v>#N/A</c:v>
                </c:pt>
                <c:pt idx="335">
                  <c:v>#N/A</c:v>
                </c:pt>
                <c:pt idx="336">
                  <c:v>#N/A</c:v>
                </c:pt>
                <c:pt idx="337">
                  <c:v>#N/A</c:v>
                </c:pt>
                <c:pt idx="338">
                  <c:v>#N/A</c:v>
                </c:pt>
                <c:pt idx="339">
                  <c:v>#N/A</c:v>
                </c:pt>
                <c:pt idx="340">
                  <c:v>15.999999999999961</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xVal>
          <c:yVal>
            <c:numRef>
              <c:f>Calculs!$K$4:$K$1004</c:f>
              <c:numCache>
                <c:formatCode>0.00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291.09189288107132</c:v>
                </c:pt>
                <c:pt idx="262">
                  <c:v>290.06069183048686</c:v>
                </c:pt>
                <c:pt idx="263">
                  <c:v>288.93559987586428</c:v>
                </c:pt>
                <c:pt idx="264">
                  <c:v>287.71722909449147</c:v>
                </c:pt>
                <c:pt idx="265">
                  <c:v>286.40623463936765</c:v>
                </c:pt>
                <c:pt idx="266">
                  <c:v>285.00331428028829</c:v>
                </c:pt>
                <c:pt idx="267">
                  <c:v>283.50920767750182</c:v>
                </c:pt>
                <c:pt idx="268">
                  <c:v>281.9246954376257</c:v>
                </c:pt>
                <c:pt idx="269">
                  <c:v>280.25059799104753</c:v>
                </c:pt>
                <c:pt idx="270">
                  <c:v>278.4877743220685</c:v>
                </c:pt>
                <c:pt idx="271">
                  <c:v>276.63712057704515</c:v>
                </c:pt>
                <c:pt idx="272">
                  <c:v>274.69956857128471</c:v>
                </c:pt>
                <c:pt idx="273">
                  <c:v>272.67608421207359</c:v>
                </c:pt>
                <c:pt idx="274">
                  <c:v>270.56766585267269</c:v>
                </c:pt>
                <c:pt idx="275">
                  <c:v>268.37534259017303</c:v>
                </c:pt>
                <c:pt idx="276">
                  <c:v>266.10017251860978</c:v>
                </c:pt>
                <c:pt idx="277">
                  <c:v>263.7432409475532</c:v>
                </c:pt>
                <c:pt idx="278">
                  <c:v>261.30565859544896</c:v>
                </c:pt>
                <c:pt idx="279">
                  <c:v>258.78855976619644</c:v>
                </c:pt>
                <c:pt idx="280">
                  <c:v>256.19310051679088</c:v>
                </c:pt>
                <c:pt idx="281">
                  <c:v>253.52045682327267</c:v>
                </c:pt>
                <c:pt idx="282">
                  <c:v>250.77182275170779</c:v>
                </c:pt>
                <c:pt idx="283">
                  <c:v>247.9484086404436</c:v>
                </c:pt>
                <c:pt idx="284">
                  <c:v>245.0514392994348</c:v>
                </c:pt>
                <c:pt idx="285">
                  <c:v>242.08215223200716</c:v>
                </c:pt>
                <c:pt idx="286">
                  <c:v>239.04179588401399</c:v>
                </c:pt>
                <c:pt idx="287">
                  <c:v>235.93162792494019</c:v>
                </c:pt>
                <c:pt idx="288">
                  <c:v>232.75291356511812</c:v>
                </c:pt>
                <c:pt idx="289">
                  <c:v>229.50692391283829</c:v>
                </c:pt>
                <c:pt idx="290">
                  <c:v>226.19493437476322</c:v>
                </c:pt>
                <c:pt idx="291">
                  <c:v>222.81822310268873</c:v>
                </c:pt>
                <c:pt idx="292">
                  <c:v>219.37806948934011</c:v>
                </c:pt>
                <c:pt idx="293">
                  <c:v>215.87575271554374</c:v>
                </c:pt>
                <c:pt idx="294">
                  <c:v>212.31255035077942</c:v>
                </c:pt>
                <c:pt idx="295">
                  <c:v>208.68973700879292</c:v>
                </c:pt>
                <c:pt idx="296">
                  <c:v>205.00858305963612</c:v>
                </c:pt>
                <c:pt idx="297">
                  <c:v>201.270353399203</c:v>
                </c:pt>
                <c:pt idx="298">
                  <c:v>197.47630627704319</c:v>
                </c:pt>
                <c:pt idx="299">
                  <c:v>193.62769218296484</c:v>
                </c:pt>
                <c:pt idx="300">
                  <c:v>189.72575279268128</c:v>
                </c:pt>
                <c:pt idx="301">
                  <c:v>185.77171997251639</c:v>
                </c:pt>
                <c:pt idx="302">
                  <c:v>181.76681484295801</c:v>
                </c:pt>
                <c:pt idx="303">
                  <c:v>177.71224690064031</c:v>
                </c:pt>
                <c:pt idx="304">
                  <c:v>173.6092131981431</c:v>
                </c:pt>
                <c:pt idx="305">
                  <c:v>169.45889758081921</c:v>
                </c:pt>
                <c:pt idx="306">
                  <c:v>165.2624699797</c:v>
                </c:pt>
                <c:pt idx="307">
                  <c:v>161.02108575938396</c:v>
                </c:pt>
                <c:pt idx="308">
                  <c:v>156.73588511968285</c:v>
                </c:pt>
                <c:pt idx="309">
                  <c:v>152.40799254968468</c:v>
                </c:pt>
                <c:pt idx="310">
                  <c:v>148.03851633279217</c:v>
                </c:pt>
                <c:pt idx="311">
                  <c:v>143.62854810120749</c:v>
                </c:pt>
                <c:pt idx="312">
                  <c:v>139.17916243826082</c:v>
                </c:pt>
                <c:pt idx="313">
                  <c:v>134.69141652691863</c:v>
                </c:pt>
                <c:pt idx="314">
                  <c:v>130.16634984275808</c:v>
                </c:pt>
                <c:pt idx="315">
                  <c:v>125.60498388965577</c:v>
                </c:pt>
                <c:pt idx="316">
                  <c:v>121.00832197641151</c:v>
                </c:pt>
                <c:pt idx="317">
                  <c:v>116.37734903250951</c:v>
                </c:pt>
                <c:pt idx="318">
                  <c:v>111.71303146121105</c:v>
                </c:pt>
                <c:pt idx="319">
                  <c:v>107.01631702817177</c:v>
                </c:pt>
                <c:pt idx="320">
                  <c:v>102.28813478378433</c:v>
                </c:pt>
                <c:pt idx="321">
                  <c:v>97.529395017461056</c:v>
                </c:pt>
                <c:pt idx="322">
                  <c:v>92.740989242092127</c:v>
                </c:pt>
                <c:pt idx="323">
                  <c:v>87.923790206940623</c:v>
                </c:pt>
                <c:pt idx="324">
                  <c:v>83.078651937267338</c:v>
                </c:pt>
                <c:pt idx="325">
                  <c:v>78.206409799013784</c:v>
                </c:pt>
                <c:pt idx="326">
                  <c:v>73.307880586911466</c:v>
                </c:pt>
                <c:pt idx="327">
                  <c:v>68.383862634428411</c:v>
                </c:pt>
                <c:pt idx="328">
                  <c:v>63.435135944009716</c:v>
                </c:pt>
                <c:pt idx="329">
                  <c:v>58.462462336117014</c:v>
                </c:pt>
                <c:pt idx="330">
                  <c:v>53.466585615621725</c:v>
                </c:pt>
                <c:pt idx="331">
                  <c:v>48.448231754158705</c:v>
                </c:pt>
                <c:pt idx="332">
                  <c:v>43.408109087099412</c:v>
                </c:pt>
                <c:pt idx="333">
                  <c:v>38.346908523857202</c:v>
                </c:pt>
                <c:pt idx="334">
                  <c:v>33.265303770291418</c:v>
                </c:pt>
                <c:pt idx="335">
                  <c:v>28.16395156203081</c:v>
                </c:pt>
                <c:pt idx="336">
                  <c:v>23.043491907591019</c:v>
                </c:pt>
                <c:pt idx="337">
                  <c:v>17.904548340214294</c:v>
                </c:pt>
                <c:pt idx="338">
                  <c:v>12.747728177412935</c:v>
                </c:pt>
                <c:pt idx="339">
                  <c:v>7.5736227872500832</c:v>
                </c:pt>
                <c:pt idx="340">
                  <c:v>2.3828078604431502</c:v>
                </c:pt>
                <c:pt idx="341">
                  <c:v>-2.8241563125745657</c:v>
                </c:pt>
                <c:pt idx="342">
                  <c:v>-2.8293712208732744</c:v>
                </c:pt>
                <c:pt idx="343">
                  <c:v>-2.834586144506956</c:v>
                </c:pt>
                <c:pt idx="344">
                  <c:v>-2.8398010834750882</c:v>
                </c:pt>
                <c:pt idx="345">
                  <c:v>-2.8450160377771492</c:v>
                </c:pt>
                <c:pt idx="346">
                  <c:v>-2.8502310074126171</c:v>
                </c:pt>
                <c:pt idx="347">
                  <c:v>-2.8554459923809703</c:v>
                </c:pt>
                <c:pt idx="348">
                  <c:v>-2.8606609926816868</c:v>
                </c:pt>
                <c:pt idx="349">
                  <c:v>-2.8658760083142449</c:v>
                </c:pt>
                <c:pt idx="350">
                  <c:v>-2.8710910392781224</c:v>
                </c:pt>
                <c:pt idx="351">
                  <c:v>-2.8763060855727978</c:v>
                </c:pt>
                <c:pt idx="352">
                  <c:v>-2.8815211471977493</c:v>
                </c:pt>
                <c:pt idx="353">
                  <c:v>-2.8867362241524552</c:v>
                </c:pt>
                <c:pt idx="354">
                  <c:v>-2.8919513164363937</c:v>
                </c:pt>
                <c:pt idx="355">
                  <c:v>-2.8971664240490429</c:v>
                </c:pt>
                <c:pt idx="356">
                  <c:v>-2.9023815469898815</c:v>
                </c:pt>
                <c:pt idx="357">
                  <c:v>-2.9075966852583872</c:v>
                </c:pt>
                <c:pt idx="358">
                  <c:v>-2.9128118388540387</c:v>
                </c:pt>
                <c:pt idx="359">
                  <c:v>-2.9180270077763142</c:v>
                </c:pt>
                <c:pt idx="360">
                  <c:v>-2.9232421920246923</c:v>
                </c:pt>
                <c:pt idx="361">
                  <c:v>-2.9284573915986511</c:v>
                </c:pt>
                <c:pt idx="362">
                  <c:v>-2.933672606497669</c:v>
                </c:pt>
                <c:pt idx="363">
                  <c:v>-2.9388878367212246</c:v>
                </c:pt>
                <c:pt idx="364">
                  <c:v>-2.9441030822687959</c:v>
                </c:pt>
                <c:pt idx="365">
                  <c:v>-2.9493183431398613</c:v>
                </c:pt>
                <c:pt idx="366">
                  <c:v>-2.9545336193338994</c:v>
                </c:pt>
                <c:pt idx="367">
                  <c:v>-2.9597489108503887</c:v>
                </c:pt>
                <c:pt idx="368">
                  <c:v>-2.9649642176888076</c:v>
                </c:pt>
                <c:pt idx="369">
                  <c:v>-2.9701795398486346</c:v>
                </c:pt>
                <c:pt idx="370">
                  <c:v>-2.9753948773293479</c:v>
                </c:pt>
                <c:pt idx="371">
                  <c:v>-2.9806102301304263</c:v>
                </c:pt>
                <c:pt idx="372">
                  <c:v>-2.9858255982513482</c:v>
                </c:pt>
                <c:pt idx="373">
                  <c:v>-2.9910409816915919</c:v>
                </c:pt>
                <c:pt idx="374">
                  <c:v>-2.9962563804506366</c:v>
                </c:pt>
                <c:pt idx="375">
                  <c:v>-3.0014717945279603</c:v>
                </c:pt>
                <c:pt idx="376">
                  <c:v>-3.0066872239230418</c:v>
                </c:pt>
                <c:pt idx="377">
                  <c:v>-3.0119026686353592</c:v>
                </c:pt>
                <c:pt idx="378">
                  <c:v>-3.0171181286643916</c:v>
                </c:pt>
                <c:pt idx="379">
                  <c:v>-3.0223336040096176</c:v>
                </c:pt>
                <c:pt idx="380">
                  <c:v>-3.0275490946705155</c:v>
                </c:pt>
                <c:pt idx="381">
                  <c:v>-3.0327646006465643</c:v>
                </c:pt>
                <c:pt idx="382">
                  <c:v>-3.0379801219372422</c:v>
                </c:pt>
                <c:pt idx="383">
                  <c:v>-3.0431956585420283</c:v>
                </c:pt>
                <c:pt idx="384">
                  <c:v>-3.0484112104604013</c:v>
                </c:pt>
                <c:pt idx="385">
                  <c:v>-3.0536267776918393</c:v>
                </c:pt>
                <c:pt idx="386">
                  <c:v>-3.0588423602358215</c:v>
                </c:pt>
                <c:pt idx="387">
                  <c:v>-3.0640579580918268</c:v>
                </c:pt>
                <c:pt idx="388">
                  <c:v>-3.0692735712593335</c:v>
                </c:pt>
                <c:pt idx="389">
                  <c:v>-3.0744891997378203</c:v>
                </c:pt>
                <c:pt idx="390">
                  <c:v>-3.0797048435267662</c:v>
                </c:pt>
                <c:pt idx="391">
                  <c:v>-3.0849205026256503</c:v>
                </c:pt>
                <c:pt idx="392">
                  <c:v>-3.0901361770339508</c:v>
                </c:pt>
                <c:pt idx="393">
                  <c:v>-3.0953518667511468</c:v>
                </c:pt>
                <c:pt idx="394">
                  <c:v>-3.1005675717767169</c:v>
                </c:pt>
                <c:pt idx="395">
                  <c:v>-3.1057832921101403</c:v>
                </c:pt>
                <c:pt idx="396">
                  <c:v>-3.1109990277508954</c:v>
                </c:pt>
                <c:pt idx="397">
                  <c:v>-3.1162147786984615</c:v>
                </c:pt>
                <c:pt idx="398">
                  <c:v>-3.1214305449523172</c:v>
                </c:pt>
                <c:pt idx="399">
                  <c:v>-3.1266463265119415</c:v>
                </c:pt>
                <c:pt idx="400">
                  <c:v>-3.1318621233768131</c:v>
                </c:pt>
                <c:pt idx="401">
                  <c:v>-3.1370779355464116</c:v>
                </c:pt>
                <c:pt idx="402">
                  <c:v>-3.142293763020215</c:v>
                </c:pt>
                <c:pt idx="403">
                  <c:v>-3.147509605797703</c:v>
                </c:pt>
                <c:pt idx="404">
                  <c:v>-3.1527254638783542</c:v>
                </c:pt>
                <c:pt idx="405">
                  <c:v>-3.1579413372616476</c:v>
                </c:pt>
                <c:pt idx="406">
                  <c:v>-3.1631572259470619</c:v>
                </c:pt>
                <c:pt idx="407">
                  <c:v>-3.1683731299340767</c:v>
                </c:pt>
                <c:pt idx="408">
                  <c:v>-3.1735890492221706</c:v>
                </c:pt>
                <c:pt idx="409">
                  <c:v>-3.1788049838108225</c:v>
                </c:pt>
                <c:pt idx="410">
                  <c:v>-3.1840209336995122</c:v>
                </c:pt>
                <c:pt idx="411">
                  <c:v>-3.1892368988877182</c:v>
                </c:pt>
                <c:pt idx="412">
                  <c:v>-3.1944528793749196</c:v>
                </c:pt>
                <c:pt idx="413">
                  <c:v>-3.1996688751605955</c:v>
                </c:pt>
                <c:pt idx="414">
                  <c:v>-3.204884886244225</c:v>
                </c:pt>
                <c:pt idx="415">
                  <c:v>-3.2101009126252871</c:v>
                </c:pt>
                <c:pt idx="416">
                  <c:v>-3.2153169543032614</c:v>
                </c:pt>
                <c:pt idx="417">
                  <c:v>-3.2205330112776265</c:v>
                </c:pt>
                <c:pt idx="418">
                  <c:v>-3.2257490835478619</c:v>
                </c:pt>
                <c:pt idx="419">
                  <c:v>-3.2309651711134468</c:v>
                </c:pt>
                <c:pt idx="420">
                  <c:v>-3.2361812739738602</c:v>
                </c:pt>
                <c:pt idx="421">
                  <c:v>-3.2413973921285812</c:v>
                </c:pt>
                <c:pt idx="422">
                  <c:v>-3.2466135255770894</c:v>
                </c:pt>
                <c:pt idx="423">
                  <c:v>-3.2518296743188637</c:v>
                </c:pt>
                <c:pt idx="424">
                  <c:v>-3.2570458383533838</c:v>
                </c:pt>
                <c:pt idx="425">
                  <c:v>-3.2622620176801282</c:v>
                </c:pt>
                <c:pt idx="426">
                  <c:v>-3.267478212298577</c:v>
                </c:pt>
                <c:pt idx="427">
                  <c:v>-3.2726944222082088</c:v>
                </c:pt>
                <c:pt idx="428">
                  <c:v>-3.2779106474085036</c:v>
                </c:pt>
                <c:pt idx="429">
                  <c:v>-3.2831268878989399</c:v>
                </c:pt>
                <c:pt idx="430">
                  <c:v>-3.2883431436789978</c:v>
                </c:pt>
                <c:pt idx="431">
                  <c:v>-3.2935594147481564</c:v>
                </c:pt>
                <c:pt idx="432">
                  <c:v>-3.2987757011058947</c:v>
                </c:pt>
                <c:pt idx="433">
                  <c:v>-3.3039920027516922</c:v>
                </c:pt>
                <c:pt idx="434">
                  <c:v>-3.3092083196850286</c:v>
                </c:pt>
                <c:pt idx="435">
                  <c:v>-3.3144246519053833</c:v>
                </c:pt>
                <c:pt idx="436">
                  <c:v>-3.3196409994122353</c:v>
                </c:pt>
                <c:pt idx="437">
                  <c:v>-3.3248573622050643</c:v>
                </c:pt>
                <c:pt idx="438">
                  <c:v>-3.3300737402833498</c:v>
                </c:pt>
                <c:pt idx="439">
                  <c:v>-3.3352901336465712</c:v>
                </c:pt>
                <c:pt idx="440">
                  <c:v>-3.3405065422942077</c:v>
                </c:pt>
                <c:pt idx="441">
                  <c:v>-3.3457229662257393</c:v>
                </c:pt>
                <c:pt idx="442">
                  <c:v>-3.3509394054406454</c:v>
                </c:pt>
                <c:pt idx="443">
                  <c:v>-3.3561558599384052</c:v>
                </c:pt>
                <c:pt idx="444">
                  <c:v>-3.3613723297184985</c:v>
                </c:pt>
                <c:pt idx="445">
                  <c:v>-3.3665888147804046</c:v>
                </c:pt>
                <c:pt idx="446">
                  <c:v>-3.3718053151236034</c:v>
                </c:pt>
                <c:pt idx="447">
                  <c:v>-3.3770218307475743</c:v>
                </c:pt>
                <c:pt idx="448">
                  <c:v>-3.3822383616517966</c:v>
                </c:pt>
                <c:pt idx="449">
                  <c:v>-3.3874549078357501</c:v>
                </c:pt>
                <c:pt idx="450">
                  <c:v>-3.3926714692989148</c:v>
                </c:pt>
                <c:pt idx="451">
                  <c:v>-3.3978880460407699</c:v>
                </c:pt>
                <c:pt idx="452">
                  <c:v>-3.4031046380607952</c:v>
                </c:pt>
                <c:pt idx="453">
                  <c:v>-3.4083212453584704</c:v>
                </c:pt>
                <c:pt idx="454">
                  <c:v>-3.4135378679332748</c:v>
                </c:pt>
                <c:pt idx="455">
                  <c:v>-3.4187545057846886</c:v>
                </c:pt>
                <c:pt idx="456">
                  <c:v>-3.4239711589121913</c:v>
                </c:pt>
                <c:pt idx="457">
                  <c:v>-3.4291878273152627</c:v>
                </c:pt>
                <c:pt idx="458">
                  <c:v>-3.4344045109933825</c:v>
                </c:pt>
                <c:pt idx="459">
                  <c:v>-3.4396212099460302</c:v>
                </c:pt>
                <c:pt idx="460">
                  <c:v>-3.4448379241726856</c:v>
                </c:pt>
                <c:pt idx="461">
                  <c:v>-3.4500546536728289</c:v>
                </c:pt>
                <c:pt idx="462">
                  <c:v>-3.4552713984459396</c:v>
                </c:pt>
                <c:pt idx="463">
                  <c:v>-3.4604881584914975</c:v>
                </c:pt>
                <c:pt idx="464">
                  <c:v>-3.4657049338089823</c:v>
                </c:pt>
                <c:pt idx="465">
                  <c:v>-3.4709217243978738</c:v>
                </c:pt>
                <c:pt idx="466">
                  <c:v>-3.4761385302576522</c:v>
                </c:pt>
                <c:pt idx="467">
                  <c:v>-3.4813553513877973</c:v>
                </c:pt>
                <c:pt idx="468">
                  <c:v>-3.4865721877877887</c:v>
                </c:pt>
                <c:pt idx="469">
                  <c:v>-3.4917890394571063</c:v>
                </c:pt>
                <c:pt idx="470">
                  <c:v>-3.4970059063952301</c:v>
                </c:pt>
                <c:pt idx="471">
                  <c:v>-3.5022227886016402</c:v>
                </c:pt>
                <c:pt idx="472">
                  <c:v>-3.5074396860758164</c:v>
                </c:pt>
                <c:pt idx="473">
                  <c:v>-3.5126565988172382</c:v>
                </c:pt>
                <c:pt idx="474">
                  <c:v>-3.5178735268253862</c:v>
                </c:pt>
                <c:pt idx="475">
                  <c:v>-3.5230904700997403</c:v>
                </c:pt>
                <c:pt idx="476">
                  <c:v>-3.52830742863978</c:v>
                </c:pt>
                <c:pt idx="477">
                  <c:v>-3.5335244024449857</c:v>
                </c:pt>
                <c:pt idx="478">
                  <c:v>-3.5387413915148374</c:v>
                </c:pt>
                <c:pt idx="479">
                  <c:v>-3.543958395848815</c:v>
                </c:pt>
                <c:pt idx="480">
                  <c:v>-3.5491754154463986</c:v>
                </c:pt>
                <c:pt idx="481">
                  <c:v>-3.5543924503070685</c:v>
                </c:pt>
                <c:pt idx="482">
                  <c:v>-3.5596095004303043</c:v>
                </c:pt>
                <c:pt idx="483">
                  <c:v>-3.5648265658155864</c:v>
                </c:pt>
                <c:pt idx="484">
                  <c:v>-3.5700436464623948</c:v>
                </c:pt>
                <c:pt idx="485">
                  <c:v>-3.5752607423702099</c:v>
                </c:pt>
                <c:pt idx="486">
                  <c:v>-3.5804778535385116</c:v>
                </c:pt>
                <c:pt idx="487">
                  <c:v>-3.5856949799667799</c:v>
                </c:pt>
                <c:pt idx="488">
                  <c:v>-3.5909121216544948</c:v>
                </c:pt>
                <c:pt idx="489">
                  <c:v>-3.5961292786011372</c:v>
                </c:pt>
                <c:pt idx="490">
                  <c:v>-3.6013464508061865</c:v>
                </c:pt>
                <c:pt idx="491">
                  <c:v>-3.6065636382691233</c:v>
                </c:pt>
                <c:pt idx="492">
                  <c:v>-3.6117808409894279</c:v>
                </c:pt>
                <c:pt idx="493">
                  <c:v>-3.6169980589665802</c:v>
                </c:pt>
                <c:pt idx="494">
                  <c:v>-3.6222152922000608</c:v>
                </c:pt>
                <c:pt idx="495">
                  <c:v>-3.6274325406893495</c:v>
                </c:pt>
                <c:pt idx="496">
                  <c:v>-3.6326498044339268</c:v>
                </c:pt>
                <c:pt idx="497">
                  <c:v>-3.6378670834332731</c:v>
                </c:pt>
                <c:pt idx="498">
                  <c:v>-3.6430843776868689</c:v>
                </c:pt>
                <c:pt idx="499">
                  <c:v>-3.648301687194194</c:v>
                </c:pt>
                <c:pt idx="500">
                  <c:v>-3.6535190119547289</c:v>
                </c:pt>
                <c:pt idx="501">
                  <c:v>-3.6587363519679541</c:v>
                </c:pt>
                <c:pt idx="502">
                  <c:v>-3.6639537072333499</c:v>
                </c:pt>
                <c:pt idx="503">
                  <c:v>-3.6691710777503967</c:v>
                </c:pt>
                <c:pt idx="504">
                  <c:v>-3.6743884635185746</c:v>
                </c:pt>
                <c:pt idx="505">
                  <c:v>-3.6796058645373644</c:v>
                </c:pt>
                <c:pt idx="506">
                  <c:v>-3.6848232808062464</c:v>
                </c:pt>
                <c:pt idx="507">
                  <c:v>-3.6900407123247008</c:v>
                </c:pt>
                <c:pt idx="508">
                  <c:v>-3.6952581590922082</c:v>
                </c:pt>
                <c:pt idx="509">
                  <c:v>-3.7004756211082492</c:v>
                </c:pt>
                <c:pt idx="510">
                  <c:v>-3.7056930983723042</c:v>
                </c:pt>
                <c:pt idx="511">
                  <c:v>-3.7109105908838536</c:v>
                </c:pt>
                <c:pt idx="512">
                  <c:v>-3.7161280986423777</c:v>
                </c:pt>
                <c:pt idx="513">
                  <c:v>-3.7213456216473575</c:v>
                </c:pt>
                <c:pt idx="514">
                  <c:v>-3.7265631598982729</c:v>
                </c:pt>
                <c:pt idx="515">
                  <c:v>-3.7317807133946048</c:v>
                </c:pt>
                <c:pt idx="516">
                  <c:v>-3.7369982821358341</c:v>
                </c:pt>
                <c:pt idx="517">
                  <c:v>-3.7422158661214406</c:v>
                </c:pt>
                <c:pt idx="518">
                  <c:v>-3.7474334653509054</c:v>
                </c:pt>
                <c:pt idx="519">
                  <c:v>-3.7526510798237092</c:v>
                </c:pt>
                <c:pt idx="520">
                  <c:v>-3.7578687095393324</c:v>
                </c:pt>
                <c:pt idx="521">
                  <c:v>-3.7630863544972555</c:v>
                </c:pt>
                <c:pt idx="522">
                  <c:v>-3.7683040146969593</c:v>
                </c:pt>
                <c:pt idx="523">
                  <c:v>-3.7735216901379247</c:v>
                </c:pt>
                <c:pt idx="524">
                  <c:v>-3.7787393808196321</c:v>
                </c:pt>
                <c:pt idx="525">
                  <c:v>-3.7839570867415619</c:v>
                </c:pt>
                <c:pt idx="526">
                  <c:v>-3.7891748079031951</c:v>
                </c:pt>
                <c:pt idx="527">
                  <c:v>-3.7943925443040123</c:v>
                </c:pt>
                <c:pt idx="528">
                  <c:v>-3.7996102959434945</c:v>
                </c:pt>
                <c:pt idx="529">
                  <c:v>-3.8048280628211222</c:v>
                </c:pt>
                <c:pt idx="530">
                  <c:v>-3.8100458449363761</c:v>
                </c:pt>
                <c:pt idx="531">
                  <c:v>-3.8152636422887372</c:v>
                </c:pt>
                <c:pt idx="532">
                  <c:v>-3.8204814548776862</c:v>
                </c:pt>
                <c:pt idx="533">
                  <c:v>-3.8256992827027037</c:v>
                </c:pt>
                <c:pt idx="534">
                  <c:v>-3.8309171257632708</c:v>
                </c:pt>
                <c:pt idx="535">
                  <c:v>-3.8361349840588681</c:v>
                </c:pt>
                <c:pt idx="536">
                  <c:v>-3.8413528575889768</c:v>
                </c:pt>
                <c:pt idx="537">
                  <c:v>-3.8465707463530774</c:v>
                </c:pt>
                <c:pt idx="538">
                  <c:v>-3.8517886503506507</c:v>
                </c:pt>
                <c:pt idx="539">
                  <c:v>-3.8570065695811779</c:v>
                </c:pt>
                <c:pt idx="540">
                  <c:v>-3.8622245040441396</c:v>
                </c:pt>
                <c:pt idx="541">
                  <c:v>-3.8674424537390171</c:v>
                </c:pt>
                <c:pt idx="542">
                  <c:v>-3.8726604186652906</c:v>
                </c:pt>
                <c:pt idx="543">
                  <c:v>-3.8778783988224417</c:v>
                </c:pt>
                <c:pt idx="544">
                  <c:v>-3.883096394209951</c:v>
                </c:pt>
                <c:pt idx="545">
                  <c:v>-3.8883144048273</c:v>
                </c:pt>
                <c:pt idx="546">
                  <c:v>-3.8935324306739689</c:v>
                </c:pt>
                <c:pt idx="547">
                  <c:v>-3.8987504717494392</c:v>
                </c:pt>
                <c:pt idx="548">
                  <c:v>-3.9039685280531922</c:v>
                </c:pt>
                <c:pt idx="549">
                  <c:v>-3.9091865995847082</c:v>
                </c:pt>
                <c:pt idx="550">
                  <c:v>-3.9144046863434685</c:v>
                </c:pt>
                <c:pt idx="551">
                  <c:v>-3.9196227883289545</c:v>
                </c:pt>
                <c:pt idx="552">
                  <c:v>-3.924840905540647</c:v>
                </c:pt>
                <c:pt idx="553">
                  <c:v>-3.9300590379780269</c:v>
                </c:pt>
                <c:pt idx="554">
                  <c:v>-3.9352771856405755</c:v>
                </c:pt>
                <c:pt idx="555">
                  <c:v>-3.9404953485277741</c:v>
                </c:pt>
                <c:pt idx="556">
                  <c:v>-3.9457135266391035</c:v>
                </c:pt>
                <c:pt idx="557">
                  <c:v>-3.950931719974045</c:v>
                </c:pt>
                <c:pt idx="558">
                  <c:v>-3.9561499285320796</c:v>
                </c:pt>
                <c:pt idx="559">
                  <c:v>-3.9613681523126885</c:v>
                </c:pt>
                <c:pt idx="560">
                  <c:v>-3.966586391315353</c:v>
                </c:pt>
                <c:pt idx="561">
                  <c:v>-3.9718046455395544</c:v>
                </c:pt>
                <c:pt idx="562">
                  <c:v>-3.9770229149847736</c:v>
                </c:pt>
                <c:pt idx="563">
                  <c:v>-3.9822411996504918</c:v>
                </c:pt>
                <c:pt idx="564">
                  <c:v>-3.9874594995361905</c:v>
                </c:pt>
                <c:pt idx="565">
                  <c:v>-3.9926778146413509</c:v>
                </c:pt>
                <c:pt idx="566">
                  <c:v>-3.9978961449654542</c:v>
                </c:pt>
                <c:pt idx="567">
                  <c:v>-4.0031144905079818</c:v>
                </c:pt>
                <c:pt idx="568">
                  <c:v>-4.0083328512684151</c:v>
                </c:pt>
                <c:pt idx="569">
                  <c:v>-4.0135512272462348</c:v>
                </c:pt>
                <c:pt idx="570">
                  <c:v>-4.0187696184409232</c:v>
                </c:pt>
                <c:pt idx="571">
                  <c:v>-4.0239880248519606</c:v>
                </c:pt>
                <c:pt idx="572">
                  <c:v>-4.0292064464788284</c:v>
                </c:pt>
                <c:pt idx="573">
                  <c:v>-4.0344248833210088</c:v>
                </c:pt>
                <c:pt idx="574">
                  <c:v>-4.039643335377983</c:v>
                </c:pt>
                <c:pt idx="575">
                  <c:v>-4.0448618026492316</c:v>
                </c:pt>
                <c:pt idx="576">
                  <c:v>-4.0500802851342366</c:v>
                </c:pt>
                <c:pt idx="577">
                  <c:v>-4.0552987828324794</c:v>
                </c:pt>
                <c:pt idx="578">
                  <c:v>-4.0605172957434412</c:v>
                </c:pt>
                <c:pt idx="579">
                  <c:v>-4.0657358238666044</c:v>
                </c:pt>
                <c:pt idx="580">
                  <c:v>-4.0709543672014492</c:v>
                </c:pt>
                <c:pt idx="581">
                  <c:v>-4.0761729257474579</c:v>
                </c:pt>
                <c:pt idx="582">
                  <c:v>-4.0813914995041118</c:v>
                </c:pt>
                <c:pt idx="583">
                  <c:v>-4.0866100884708922</c:v>
                </c:pt>
                <c:pt idx="584">
                  <c:v>-4.0918286926472804</c:v>
                </c:pt>
                <c:pt idx="585">
                  <c:v>-4.0970473120327586</c:v>
                </c:pt>
                <c:pt idx="586">
                  <c:v>-4.1022659466268081</c:v>
                </c:pt>
                <c:pt idx="587">
                  <c:v>-4.1074845964289102</c:v>
                </c:pt>
                <c:pt idx="588">
                  <c:v>-4.1127032614385461</c:v>
                </c:pt>
                <c:pt idx="589">
                  <c:v>-4.1179219416551982</c:v>
                </c:pt>
                <c:pt idx="590">
                  <c:v>-4.1231406370783477</c:v>
                </c:pt>
                <c:pt idx="591">
                  <c:v>-4.1283593477074767</c:v>
                </c:pt>
                <c:pt idx="592">
                  <c:v>-4.1335780735420666</c:v>
                </c:pt>
                <c:pt idx="593">
                  <c:v>-4.1387968145815988</c:v>
                </c:pt>
                <c:pt idx="594">
                  <c:v>-4.1440155708255553</c:v>
                </c:pt>
                <c:pt idx="595">
                  <c:v>-4.1492343422734175</c:v>
                </c:pt>
                <c:pt idx="596">
                  <c:v>-4.1544531289246667</c:v>
                </c:pt>
                <c:pt idx="597">
                  <c:v>-4.1596719307787851</c:v>
                </c:pt>
                <c:pt idx="598">
                  <c:v>-4.1648907478352548</c:v>
                </c:pt>
                <c:pt idx="599">
                  <c:v>-4.1701095800935573</c:v>
                </c:pt>
                <c:pt idx="600">
                  <c:v>-4.1753284275531737</c:v>
                </c:pt>
                <c:pt idx="601">
                  <c:v>-4.1805472902135863</c:v>
                </c:pt>
                <c:pt idx="602">
                  <c:v>-4.1857661680742773</c:v>
                </c:pt>
                <c:pt idx="603">
                  <c:v>-4.1909850611347279</c:v>
                </c:pt>
                <c:pt idx="604">
                  <c:v>-4.1962039693944195</c:v>
                </c:pt>
                <c:pt idx="605">
                  <c:v>-4.2014228928528352</c:v>
                </c:pt>
                <c:pt idx="606">
                  <c:v>-4.2066418315094554</c:v>
                </c:pt>
                <c:pt idx="607">
                  <c:v>-4.2118607853637631</c:v>
                </c:pt>
                <c:pt idx="608">
                  <c:v>-4.2170797544152396</c:v>
                </c:pt>
                <c:pt idx="609">
                  <c:v>-4.2222987386633664</c:v>
                </c:pt>
                <c:pt idx="610">
                  <c:v>-4.2275177381076263</c:v>
                </c:pt>
                <c:pt idx="611">
                  <c:v>-4.2327367527475008</c:v>
                </c:pt>
                <c:pt idx="612">
                  <c:v>-4.2379557825824712</c:v>
                </c:pt>
                <c:pt idx="613">
                  <c:v>-4.2431748276120205</c:v>
                </c:pt>
                <c:pt idx="614">
                  <c:v>-4.24839388783563</c:v>
                </c:pt>
                <c:pt idx="615">
                  <c:v>-4.2536129632527819</c:v>
                </c:pt>
                <c:pt idx="616">
                  <c:v>-4.2588320538629576</c:v>
                </c:pt>
                <c:pt idx="617">
                  <c:v>-4.2640511596656401</c:v>
                </c:pt>
                <c:pt idx="618">
                  <c:v>-4.2692702806603107</c:v>
                </c:pt>
                <c:pt idx="619">
                  <c:v>-4.2744894168464516</c:v>
                </c:pt>
                <c:pt idx="620">
                  <c:v>-4.279708568223545</c:v>
                </c:pt>
                <c:pt idx="621">
                  <c:v>-4.2849277347910721</c:v>
                </c:pt>
                <c:pt idx="622">
                  <c:v>-4.2901469165485162</c:v>
                </c:pt>
                <c:pt idx="623">
                  <c:v>-4.2953661134953585</c:v>
                </c:pt>
                <c:pt idx="624">
                  <c:v>-4.3005853256310811</c:v>
                </c:pt>
                <c:pt idx="625">
                  <c:v>-4.3058045529551672</c:v>
                </c:pt>
                <c:pt idx="626">
                  <c:v>-4.311023795467098</c:v>
                </c:pt>
                <c:pt idx="627">
                  <c:v>-4.3162430531663558</c:v>
                </c:pt>
                <c:pt idx="628">
                  <c:v>-4.3214623260524219</c:v>
                </c:pt>
                <c:pt idx="629">
                  <c:v>-4.3266816141247793</c:v>
                </c:pt>
                <c:pt idx="630">
                  <c:v>-4.3319009173829102</c:v>
                </c:pt>
                <c:pt idx="631">
                  <c:v>-4.3371202358262968</c:v>
                </c:pt>
                <c:pt idx="632">
                  <c:v>-4.3423395694544213</c:v>
                </c:pt>
                <c:pt idx="633">
                  <c:v>-4.347558918266766</c:v>
                </c:pt>
                <c:pt idx="634">
                  <c:v>-4.3527782822628129</c:v>
                </c:pt>
                <c:pt idx="635">
                  <c:v>-4.3579976614420444</c:v>
                </c:pt>
                <c:pt idx="636">
                  <c:v>-4.3632170558039425</c:v>
                </c:pt>
                <c:pt idx="637">
                  <c:v>-4.3684364653479895</c:v>
                </c:pt>
                <c:pt idx="638">
                  <c:v>-4.3736558900736675</c:v>
                </c:pt>
                <c:pt idx="639">
                  <c:v>-4.3788753299804597</c:v>
                </c:pt>
                <c:pt idx="640">
                  <c:v>-4.3840947850678473</c:v>
                </c:pt>
                <c:pt idx="641">
                  <c:v>-4.3893142553353135</c:v>
                </c:pt>
                <c:pt idx="642">
                  <c:v>-4.3945337407823404</c:v>
                </c:pt>
                <c:pt idx="643">
                  <c:v>-4.3997532414084102</c:v>
                </c:pt>
                <c:pt idx="644">
                  <c:v>-4.4049727572130051</c:v>
                </c:pt>
                <c:pt idx="645">
                  <c:v>-4.4101922881956073</c:v>
                </c:pt>
                <c:pt idx="646">
                  <c:v>-4.4154118343556998</c:v>
                </c:pt>
                <c:pt idx="647">
                  <c:v>-4.420631395692765</c:v>
                </c:pt>
                <c:pt idx="648">
                  <c:v>-4.4258509722062849</c:v>
                </c:pt>
                <c:pt idx="649">
                  <c:v>-4.4310705638957426</c:v>
                </c:pt>
                <c:pt idx="650">
                  <c:v>-4.4362901707606204</c:v>
                </c:pt>
                <c:pt idx="651">
                  <c:v>-4.4415097928004004</c:v>
                </c:pt>
                <c:pt idx="652">
                  <c:v>-4.4467294300145648</c:v>
                </c:pt>
                <c:pt idx="653">
                  <c:v>-4.4519490824025967</c:v>
                </c:pt>
                <c:pt idx="654">
                  <c:v>-4.4571687499639783</c:v>
                </c:pt>
                <c:pt idx="655">
                  <c:v>-4.4623884326981926</c:v>
                </c:pt>
                <c:pt idx="656">
                  <c:v>-4.4676081306047211</c:v>
                </c:pt>
                <c:pt idx="657">
                  <c:v>-4.4728278436830475</c:v>
                </c:pt>
                <c:pt idx="658">
                  <c:v>-4.4780475719326542</c:v>
                </c:pt>
                <c:pt idx="659">
                  <c:v>-4.4832673153530234</c:v>
                </c:pt>
                <c:pt idx="660">
                  <c:v>-4.4884870739436371</c:v>
                </c:pt>
                <c:pt idx="661">
                  <c:v>-4.4937068477039794</c:v>
                </c:pt>
                <c:pt idx="662">
                  <c:v>-4.4989266366335317</c:v>
                </c:pt>
                <c:pt idx="663">
                  <c:v>-4.5041464407317768</c:v>
                </c:pt>
                <c:pt idx="664">
                  <c:v>-4.5093662599981981</c:v>
                </c:pt>
                <c:pt idx="665">
                  <c:v>-4.5145860944322775</c:v>
                </c:pt>
                <c:pt idx="666">
                  <c:v>-4.5198059440334983</c:v>
                </c:pt>
                <c:pt idx="667">
                  <c:v>-4.5250258088013426</c:v>
                </c:pt>
                <c:pt idx="668">
                  <c:v>-4.5302456887352935</c:v>
                </c:pt>
                <c:pt idx="669">
                  <c:v>-4.5354655838348332</c:v>
                </c:pt>
                <c:pt idx="670">
                  <c:v>-4.5406854940994457</c:v>
                </c:pt>
                <c:pt idx="671">
                  <c:v>-4.5459054195286122</c:v>
                </c:pt>
                <c:pt idx="672">
                  <c:v>-4.5511253601218167</c:v>
                </c:pt>
                <c:pt idx="673">
                  <c:v>-4.5563453158785414</c:v>
                </c:pt>
                <c:pt idx="674">
                  <c:v>-4.5615652867982686</c:v>
                </c:pt>
                <c:pt idx="675">
                  <c:v>-4.5667852728804821</c:v>
                </c:pt>
                <c:pt idx="676">
                  <c:v>-4.5720052741246642</c:v>
                </c:pt>
                <c:pt idx="677">
                  <c:v>-4.5772252905302979</c:v>
                </c:pt>
                <c:pt idx="678">
                  <c:v>-4.5824453220968655</c:v>
                </c:pt>
                <c:pt idx="679">
                  <c:v>-4.5876653688238509</c:v>
                </c:pt>
                <c:pt idx="680">
                  <c:v>-4.5928854307107363</c:v>
                </c:pt>
                <c:pt idx="681">
                  <c:v>-4.5981055077570048</c:v>
                </c:pt>
                <c:pt idx="682">
                  <c:v>-4.6033255999621394</c:v>
                </c:pt>
                <c:pt idx="683">
                  <c:v>-4.6085457073256224</c:v>
                </c:pt>
                <c:pt idx="684">
                  <c:v>-4.6137658298469377</c:v>
                </c:pt>
                <c:pt idx="685">
                  <c:v>-4.6189859675255676</c:v>
                </c:pt>
                <c:pt idx="686">
                  <c:v>-4.624206120360995</c:v>
                </c:pt>
                <c:pt idx="687">
                  <c:v>-4.6294262883527031</c:v>
                </c:pt>
                <c:pt idx="688">
                  <c:v>-4.6346464715001749</c:v>
                </c:pt>
                <c:pt idx="689">
                  <c:v>-4.6398666698028936</c:v>
                </c:pt>
                <c:pt idx="690">
                  <c:v>-4.6450868832603422</c:v>
                </c:pt>
                <c:pt idx="691">
                  <c:v>-4.650307111872003</c:v>
                </c:pt>
                <c:pt idx="692">
                  <c:v>-4.6555273556373598</c:v>
                </c:pt>
                <c:pt idx="693">
                  <c:v>-4.6607476145558957</c:v>
                </c:pt>
                <c:pt idx="694">
                  <c:v>-4.665967888627093</c:v>
                </c:pt>
                <c:pt idx="695">
                  <c:v>-4.6711881778504356</c:v>
                </c:pt>
                <c:pt idx="696">
                  <c:v>-4.6764084822254066</c:v>
                </c:pt>
                <c:pt idx="697">
                  <c:v>-4.6816288017514891</c:v>
                </c:pt>
                <c:pt idx="698">
                  <c:v>-4.6868491364281661</c:v>
                </c:pt>
                <c:pt idx="699">
                  <c:v>-4.6920694862549199</c:v>
                </c:pt>
                <c:pt idx="700">
                  <c:v>-4.6972898512312344</c:v>
                </c:pt>
                <c:pt idx="701">
                  <c:v>-4.7025102313565936</c:v>
                </c:pt>
                <c:pt idx="702">
                  <c:v>-4.7077306266304797</c:v>
                </c:pt>
                <c:pt idx="703">
                  <c:v>-4.7129510370523757</c:v>
                </c:pt>
                <c:pt idx="704">
                  <c:v>-4.7181714626217657</c:v>
                </c:pt>
                <c:pt idx="705">
                  <c:v>-4.7233919033381326</c:v>
                </c:pt>
                <c:pt idx="706">
                  <c:v>-4.7286123592009588</c:v>
                </c:pt>
                <c:pt idx="707">
                  <c:v>-4.733832830209729</c:v>
                </c:pt>
                <c:pt idx="708">
                  <c:v>-4.7390533163639255</c:v>
                </c:pt>
                <c:pt idx="709">
                  <c:v>-4.7442738176630321</c:v>
                </c:pt>
                <c:pt idx="710">
                  <c:v>-4.7494943341065312</c:v>
                </c:pt>
                <c:pt idx="711">
                  <c:v>-4.7547148656939076</c:v>
                </c:pt>
                <c:pt idx="712">
                  <c:v>-4.7599354124246434</c:v>
                </c:pt>
                <c:pt idx="713">
                  <c:v>-4.7651559742982226</c:v>
                </c:pt>
                <c:pt idx="714">
                  <c:v>-4.7703765513141283</c:v>
                </c:pt>
                <c:pt idx="715">
                  <c:v>-4.7755971434718436</c:v>
                </c:pt>
                <c:pt idx="716">
                  <c:v>-4.7808177507708525</c:v>
                </c:pt>
                <c:pt idx="717">
                  <c:v>-4.786038373210638</c:v>
                </c:pt>
                <c:pt idx="718">
                  <c:v>-4.7912590107906832</c:v>
                </c:pt>
                <c:pt idx="719">
                  <c:v>-4.7964796635104721</c:v>
                </c:pt>
                <c:pt idx="720">
                  <c:v>-4.8017003313694877</c:v>
                </c:pt>
                <c:pt idx="721">
                  <c:v>-4.8069210143672141</c:v>
                </c:pt>
                <c:pt idx="722">
                  <c:v>-4.8121417125031343</c:v>
                </c:pt>
                <c:pt idx="723">
                  <c:v>-4.8173624257767322</c:v>
                </c:pt>
                <c:pt idx="724">
                  <c:v>-4.8225831541874911</c:v>
                </c:pt>
                <c:pt idx="725">
                  <c:v>-4.8278038977348947</c:v>
                </c:pt>
                <c:pt idx="726">
                  <c:v>-4.8330246564184263</c:v>
                </c:pt>
                <c:pt idx="727">
                  <c:v>-4.8382454302375688</c:v>
                </c:pt>
                <c:pt idx="728">
                  <c:v>-4.8434662191918063</c:v>
                </c:pt>
                <c:pt idx="729">
                  <c:v>-4.8486870232806227</c:v>
                </c:pt>
                <c:pt idx="730">
                  <c:v>-4.8539078425035012</c:v>
                </c:pt>
                <c:pt idx="731">
                  <c:v>-4.8591286768599256</c:v>
                </c:pt>
                <c:pt idx="732">
                  <c:v>-4.8643495263493799</c:v>
                </c:pt>
                <c:pt idx="733">
                  <c:v>-4.8695703909713473</c:v>
                </c:pt>
                <c:pt idx="734">
                  <c:v>-4.8747912707253116</c:v>
                </c:pt>
                <c:pt idx="735">
                  <c:v>-4.880012165610756</c:v>
                </c:pt>
                <c:pt idx="736">
                  <c:v>-4.8852330756271645</c:v>
                </c:pt>
                <c:pt idx="737">
                  <c:v>-4.8904540007740209</c:v>
                </c:pt>
                <c:pt idx="738">
                  <c:v>-4.8956749410508085</c:v>
                </c:pt>
                <c:pt idx="739">
                  <c:v>-4.9008958964570111</c:v>
                </c:pt>
                <c:pt idx="740">
                  <c:v>-4.9061168669921127</c:v>
                </c:pt>
                <c:pt idx="741">
                  <c:v>-4.9113378526555973</c:v>
                </c:pt>
                <c:pt idx="742">
                  <c:v>-4.916558853446948</c:v>
                </c:pt>
                <c:pt idx="743">
                  <c:v>-4.9217798693656496</c:v>
                </c:pt>
                <c:pt idx="744">
                  <c:v>-4.9270009004111852</c:v>
                </c:pt>
                <c:pt idx="745">
                  <c:v>-4.9322219465830379</c:v>
                </c:pt>
                <c:pt idx="746">
                  <c:v>-4.9374430078806926</c:v>
                </c:pt>
                <c:pt idx="747">
                  <c:v>-4.9426640843036331</c:v>
                </c:pt>
                <c:pt idx="748">
                  <c:v>-4.9478851758513427</c:v>
                </c:pt>
                <c:pt idx="749">
                  <c:v>-4.9531062825233052</c:v>
                </c:pt>
                <c:pt idx="750">
                  <c:v>-4.9583274043190046</c:v>
                </c:pt>
                <c:pt idx="751">
                  <c:v>-4.963548541237925</c:v>
                </c:pt>
                <c:pt idx="752">
                  <c:v>-4.9687696932795502</c:v>
                </c:pt>
                <c:pt idx="753">
                  <c:v>-4.9739908604433642</c:v>
                </c:pt>
                <c:pt idx="754">
                  <c:v>-4.9792120427288511</c:v>
                </c:pt>
                <c:pt idx="755">
                  <c:v>-4.9844332401354947</c:v>
                </c:pt>
                <c:pt idx="756">
                  <c:v>-4.9896544526627782</c:v>
                </c:pt>
                <c:pt idx="757">
                  <c:v>-4.9948756803101864</c:v>
                </c:pt>
                <c:pt idx="758">
                  <c:v>-5.0000969230772032</c:v>
                </c:pt>
                <c:pt idx="759">
                  <c:v>-5.0053181809633127</c:v>
                </c:pt>
                <c:pt idx="760">
                  <c:v>-5.0105394539679988</c:v>
                </c:pt>
                <c:pt idx="761">
                  <c:v>-5.0157607420907455</c:v>
                </c:pt>
                <c:pt idx="762">
                  <c:v>-5.0209820453310368</c:v>
                </c:pt>
                <c:pt idx="763">
                  <c:v>-5.0262033636883565</c:v>
                </c:pt>
                <c:pt idx="764">
                  <c:v>-5.0314246971621888</c:v>
                </c:pt>
                <c:pt idx="765">
                  <c:v>-5.0366460457520175</c:v>
                </c:pt>
                <c:pt idx="766">
                  <c:v>-5.0418674094573275</c:v>
                </c:pt>
                <c:pt idx="767">
                  <c:v>-5.0470887882776028</c:v>
                </c:pt>
                <c:pt idx="768">
                  <c:v>-5.0523101822123273</c:v>
                </c:pt>
                <c:pt idx="769">
                  <c:v>-5.0575315912609851</c:v>
                </c:pt>
                <c:pt idx="770">
                  <c:v>-5.06275301542306</c:v>
                </c:pt>
                <c:pt idx="771">
                  <c:v>-5.0679744546980361</c:v>
                </c:pt>
                <c:pt idx="772">
                  <c:v>-5.0731959090853982</c:v>
                </c:pt>
                <c:pt idx="773">
                  <c:v>-5.0784173785846303</c:v>
                </c:pt>
                <c:pt idx="774">
                  <c:v>-5.0836388631952163</c:v>
                </c:pt>
                <c:pt idx="775">
                  <c:v>-5.0888603629166411</c:v>
                </c:pt>
                <c:pt idx="776">
                  <c:v>-5.0940818777483887</c:v>
                </c:pt>
                <c:pt idx="777">
                  <c:v>-5.0993034076899431</c:v>
                </c:pt>
                <c:pt idx="778">
                  <c:v>-5.104524952740789</c:v>
                </c:pt>
                <c:pt idx="779">
                  <c:v>-5.1097465129004105</c:v>
                </c:pt>
                <c:pt idx="780">
                  <c:v>-5.1149680881682915</c:v>
                </c:pt>
                <c:pt idx="781">
                  <c:v>-5.120189678543916</c:v>
                </c:pt>
                <c:pt idx="782">
                  <c:v>-5.1254112840267698</c:v>
                </c:pt>
                <c:pt idx="783">
                  <c:v>-5.1306329046163359</c:v>
                </c:pt>
                <c:pt idx="784">
                  <c:v>-5.1358545403120992</c:v>
                </c:pt>
                <c:pt idx="785">
                  <c:v>-5.1410761911135436</c:v>
                </c:pt>
                <c:pt idx="786">
                  <c:v>-5.1462978570201541</c:v>
                </c:pt>
                <c:pt idx="787">
                  <c:v>-5.1515195380314145</c:v>
                </c:pt>
                <c:pt idx="788">
                  <c:v>-5.1567412341468097</c:v>
                </c:pt>
                <c:pt idx="789">
                  <c:v>-5.1619629453658238</c:v>
                </c:pt>
                <c:pt idx="790">
                  <c:v>-5.1671846716879415</c:v>
                </c:pt>
                <c:pt idx="791">
                  <c:v>-5.1724064131126477</c:v>
                </c:pt>
                <c:pt idx="792">
                  <c:v>-5.1776281696394264</c:v>
                </c:pt>
                <c:pt idx="793">
                  <c:v>-5.1828499412677616</c:v>
                </c:pt>
                <c:pt idx="794">
                  <c:v>-5.188071727997138</c:v>
                </c:pt>
                <c:pt idx="795">
                  <c:v>-5.1932935298270406</c:v>
                </c:pt>
                <c:pt idx="796">
                  <c:v>-5.1985153467569534</c:v>
                </c:pt>
                <c:pt idx="797">
                  <c:v>-5.2037371787863611</c:v>
                </c:pt>
                <c:pt idx="798">
                  <c:v>-5.2089590259147487</c:v>
                </c:pt>
                <c:pt idx="799">
                  <c:v>-5.2141808881416001</c:v>
                </c:pt>
                <c:pt idx="800">
                  <c:v>-5.2194027654664001</c:v>
                </c:pt>
                <c:pt idx="801">
                  <c:v>-5.2246246578886337</c:v>
                </c:pt>
                <c:pt idx="802">
                  <c:v>-5.2298465654077848</c:v>
                </c:pt>
                <c:pt idx="803">
                  <c:v>-5.2350684880233382</c:v>
                </c:pt>
                <c:pt idx="804">
                  <c:v>-5.2402904257347789</c:v>
                </c:pt>
                <c:pt idx="805">
                  <c:v>-5.2455123785415916</c:v>
                </c:pt>
                <c:pt idx="806">
                  <c:v>-5.2507343464432603</c:v>
                </c:pt>
                <c:pt idx="807">
                  <c:v>-5.2559563294392708</c:v>
                </c:pt>
                <c:pt idx="808">
                  <c:v>-5.2611783275291071</c:v>
                </c:pt>
                <c:pt idx="809">
                  <c:v>-5.2664003407122539</c:v>
                </c:pt>
                <c:pt idx="810">
                  <c:v>-5.2716223689881954</c:v>
                </c:pt>
                <c:pt idx="811">
                  <c:v>-5.2768444123564171</c:v>
                </c:pt>
                <c:pt idx="812">
                  <c:v>-5.2820664708164031</c:v>
                </c:pt>
                <c:pt idx="813">
                  <c:v>-5.2872885443676392</c:v>
                </c:pt>
                <c:pt idx="814">
                  <c:v>-5.2925106330096092</c:v>
                </c:pt>
                <c:pt idx="815">
                  <c:v>-5.2977327367417981</c:v>
                </c:pt>
                <c:pt idx="816">
                  <c:v>-5.3029548555636907</c:v>
                </c:pt>
                <c:pt idx="817">
                  <c:v>-5.3081769894747719</c:v>
                </c:pt>
                <c:pt idx="818">
                  <c:v>-5.3133991384745274</c:v>
                </c:pt>
                <c:pt idx="819">
                  <c:v>-5.3186213025624411</c:v>
                </c:pt>
                <c:pt idx="820">
                  <c:v>-5.323843481737998</c:v>
                </c:pt>
                <c:pt idx="821">
                  <c:v>-5.3290656760006829</c:v>
                </c:pt>
                <c:pt idx="822">
                  <c:v>-5.3342878853499807</c:v>
                </c:pt>
                <c:pt idx="823">
                  <c:v>-5.3395101097853761</c:v>
                </c:pt>
                <c:pt idx="824">
                  <c:v>-5.3447323493063541</c:v>
                </c:pt>
                <c:pt idx="825">
                  <c:v>-5.3499546039124004</c:v>
                </c:pt>
                <c:pt idx="826">
                  <c:v>-5.355176873602999</c:v>
                </c:pt>
                <c:pt idx="827">
                  <c:v>-5.3603991583776356</c:v>
                </c:pt>
                <c:pt idx="828">
                  <c:v>-5.3656214582357942</c:v>
                </c:pt>
                <c:pt idx="829">
                  <c:v>-5.3708437731769605</c:v>
                </c:pt>
                <c:pt idx="830">
                  <c:v>-5.3760661032006194</c:v>
                </c:pt>
                <c:pt idx="831">
                  <c:v>-5.3812884483062566</c:v>
                </c:pt>
                <c:pt idx="832">
                  <c:v>-5.3865108084933562</c:v>
                </c:pt>
                <c:pt idx="833">
                  <c:v>-5.3917331837614038</c:v>
                </c:pt>
                <c:pt idx="834">
                  <c:v>-5.3969555741098834</c:v>
                </c:pt>
                <c:pt idx="835">
                  <c:v>-5.4021779795382807</c:v>
                </c:pt>
                <c:pt idx="836">
                  <c:v>-5.4074004000460816</c:v>
                </c:pt>
                <c:pt idx="837">
                  <c:v>-5.4126228356327699</c:v>
                </c:pt>
                <c:pt idx="838">
                  <c:v>-5.4178452862978315</c:v>
                </c:pt>
                <c:pt idx="839">
                  <c:v>-5.4230677520407511</c:v>
                </c:pt>
                <c:pt idx="840">
                  <c:v>-5.4282902328610145</c:v>
                </c:pt>
                <c:pt idx="841">
                  <c:v>-5.4335127287581066</c:v>
                </c:pt>
                <c:pt idx="842">
                  <c:v>-5.4387352397315123</c:v>
                </c:pt>
                <c:pt idx="843">
                  <c:v>-5.4439577657807172</c:v>
                </c:pt>
                <c:pt idx="844">
                  <c:v>-5.4491803069052063</c:v>
                </c:pt>
                <c:pt idx="845">
                  <c:v>-5.4544028631044643</c:v>
                </c:pt>
                <c:pt idx="846">
                  <c:v>-5.4596254343779771</c:v>
                </c:pt>
                <c:pt idx="847">
                  <c:v>-5.4648480207252295</c:v>
                </c:pt>
                <c:pt idx="848">
                  <c:v>-5.4700706221457072</c:v>
                </c:pt>
                <c:pt idx="849">
                  <c:v>-5.4752932386388951</c:v>
                </c:pt>
                <c:pt idx="850">
                  <c:v>-5.4805158702042789</c:v>
                </c:pt>
                <c:pt idx="851">
                  <c:v>-5.4857385168413435</c:v>
                </c:pt>
                <c:pt idx="852">
                  <c:v>-5.4909611785495738</c:v>
                </c:pt>
                <c:pt idx="853">
                  <c:v>-5.4961838553284563</c:v>
                </c:pt>
                <c:pt idx="854">
                  <c:v>-5.5014065471774751</c:v>
                </c:pt>
                <c:pt idx="855">
                  <c:v>-5.5066292540961168</c:v>
                </c:pt>
                <c:pt idx="856">
                  <c:v>-5.5118519760838662</c:v>
                </c:pt>
                <c:pt idx="857">
                  <c:v>-5.5170747131402083</c:v>
                </c:pt>
                <c:pt idx="858">
                  <c:v>-5.5222974652646286</c:v>
                </c:pt>
                <c:pt idx="859">
                  <c:v>-5.5275202324566131</c:v>
                </c:pt>
                <c:pt idx="860">
                  <c:v>-5.5327430147156464</c:v>
                </c:pt>
                <c:pt idx="861">
                  <c:v>-5.5379658120412145</c:v>
                </c:pt>
                <c:pt idx="862">
                  <c:v>-5.543188624432803</c:v>
                </c:pt>
                <c:pt idx="863">
                  <c:v>-5.5484114518898968</c:v>
                </c:pt>
                <c:pt idx="864">
                  <c:v>-5.5536342944119816</c:v>
                </c:pt>
                <c:pt idx="865">
                  <c:v>-5.5588571519985432</c:v>
                </c:pt>
                <c:pt idx="866">
                  <c:v>-5.5640800246490674</c:v>
                </c:pt>
                <c:pt idx="867">
                  <c:v>-5.5693029123630389</c:v>
                </c:pt>
                <c:pt idx="868">
                  <c:v>-5.5745258151399435</c:v>
                </c:pt>
                <c:pt idx="869">
                  <c:v>-5.579748732979267</c:v>
                </c:pt>
                <c:pt idx="870">
                  <c:v>-5.5849716658804942</c:v>
                </c:pt>
                <c:pt idx="871">
                  <c:v>-5.5901946138431118</c:v>
                </c:pt>
                <c:pt idx="872">
                  <c:v>-5.5954175768666046</c:v>
                </c:pt>
                <c:pt idx="873">
                  <c:v>-5.6006405549504583</c:v>
                </c:pt>
                <c:pt idx="874">
                  <c:v>-5.6058635480941588</c:v>
                </c:pt>
                <c:pt idx="875">
                  <c:v>-5.6110865562971917</c:v>
                </c:pt>
                <c:pt idx="876">
                  <c:v>-5.6163095795590428</c:v>
                </c:pt>
                <c:pt idx="877">
                  <c:v>-5.6215326178791978</c:v>
                </c:pt>
                <c:pt idx="878">
                  <c:v>-5.6267556712571416</c:v>
                </c:pt>
                <c:pt idx="879">
                  <c:v>-5.6319787396923608</c:v>
                </c:pt>
                <c:pt idx="880">
                  <c:v>-5.6372018231843404</c:v>
                </c:pt>
                <c:pt idx="881">
                  <c:v>-5.6424249217325668</c:v>
                </c:pt>
                <c:pt idx="882">
                  <c:v>-5.647648035336525</c:v>
                </c:pt>
                <c:pt idx="883">
                  <c:v>-5.6528711639957017</c:v>
                </c:pt>
                <c:pt idx="884">
                  <c:v>-5.6580943077095815</c:v>
                </c:pt>
                <c:pt idx="885">
                  <c:v>-5.6633174664776513</c:v>
                </c:pt>
                <c:pt idx="886">
                  <c:v>-5.6685406402993959</c:v>
                </c:pt>
                <c:pt idx="887">
                  <c:v>-5.6737638291743018</c:v>
                </c:pt>
                <c:pt idx="888">
                  <c:v>-5.6789870331018548</c:v>
                </c:pt>
                <c:pt idx="889">
                  <c:v>-5.6842102520815407</c:v>
                </c:pt>
                <c:pt idx="890">
                  <c:v>-5.6894334861128453</c:v>
                </c:pt>
                <c:pt idx="891">
                  <c:v>-5.6946567351952542</c:v>
                </c:pt>
                <c:pt idx="892">
                  <c:v>-5.6998799993282532</c:v>
                </c:pt>
                <c:pt idx="893">
                  <c:v>-5.705103278511328</c:v>
                </c:pt>
                <c:pt idx="894">
                  <c:v>-5.7103265727439654</c:v>
                </c:pt>
                <c:pt idx="895">
                  <c:v>-5.715549882025651</c:v>
                </c:pt>
                <c:pt idx="896">
                  <c:v>-5.7207732063558705</c:v>
                </c:pt>
                <c:pt idx="897">
                  <c:v>-5.7259965457341098</c:v>
                </c:pt>
                <c:pt idx="898">
                  <c:v>-5.7312199001598554</c:v>
                </c:pt>
                <c:pt idx="899">
                  <c:v>-5.7364432696325922</c:v>
                </c:pt>
                <c:pt idx="900">
                  <c:v>-5.7416666541518069</c:v>
                </c:pt>
                <c:pt idx="901">
                  <c:v>-5.746890053716986</c:v>
                </c:pt>
                <c:pt idx="902">
                  <c:v>-5.7521134683276145</c:v>
                </c:pt>
                <c:pt idx="903">
                  <c:v>-5.7573368979831789</c:v>
                </c:pt>
                <c:pt idx="904">
                  <c:v>-5.762560342683166</c:v>
                </c:pt>
                <c:pt idx="905">
                  <c:v>-5.7677838024270605</c:v>
                </c:pt>
                <c:pt idx="906">
                  <c:v>-5.773007277214349</c:v>
                </c:pt>
                <c:pt idx="907">
                  <c:v>-5.7782307670445183</c:v>
                </c:pt>
                <c:pt idx="908">
                  <c:v>-5.7834542719170541</c:v>
                </c:pt>
                <c:pt idx="909">
                  <c:v>-5.788677791831442</c:v>
                </c:pt>
                <c:pt idx="910">
                  <c:v>-5.793901326787168</c:v>
                </c:pt>
                <c:pt idx="911">
                  <c:v>-5.7991248767837194</c:v>
                </c:pt>
                <c:pt idx="912">
                  <c:v>-5.8043484418205811</c:v>
                </c:pt>
                <c:pt idx="913">
                  <c:v>-5.8095720218972398</c:v>
                </c:pt>
                <c:pt idx="914">
                  <c:v>-5.814795617013182</c:v>
                </c:pt>
                <c:pt idx="915">
                  <c:v>-5.8200192271678937</c:v>
                </c:pt>
                <c:pt idx="916">
                  <c:v>-5.8252428523608604</c:v>
                </c:pt>
                <c:pt idx="917">
                  <c:v>-5.8304664925915697</c:v>
                </c:pt>
                <c:pt idx="918">
                  <c:v>-5.8356901478595065</c:v>
                </c:pt>
                <c:pt idx="919">
                  <c:v>-5.8409138181641582</c:v>
                </c:pt>
                <c:pt idx="920">
                  <c:v>-5.8461375035050107</c:v>
                </c:pt>
                <c:pt idx="921">
                  <c:v>-5.8513612038815497</c:v>
                </c:pt>
                <c:pt idx="922">
                  <c:v>-5.8565849192932617</c:v>
                </c:pt>
                <c:pt idx="923">
                  <c:v>-5.8618086497396336</c:v>
                </c:pt>
                <c:pt idx="924">
                  <c:v>-5.8670323952201509</c:v>
                </c:pt>
                <c:pt idx="925">
                  <c:v>-5.8722561557343012</c:v>
                </c:pt>
                <c:pt idx="926">
                  <c:v>-5.8774799312815693</c:v>
                </c:pt>
                <c:pt idx="927">
                  <c:v>-5.8827037218614429</c:v>
                </c:pt>
                <c:pt idx="928">
                  <c:v>-5.8879275274734075</c:v>
                </c:pt>
                <c:pt idx="929">
                  <c:v>-5.89315134811695</c:v>
                </c:pt>
                <c:pt idx="930">
                  <c:v>-5.8983751837915568</c:v>
                </c:pt>
                <c:pt idx="931">
                  <c:v>-5.9035990344967137</c:v>
                </c:pt>
                <c:pt idx="932">
                  <c:v>-5.9088229002319084</c:v>
                </c:pt>
                <c:pt idx="933">
                  <c:v>-5.9140467809966264</c:v>
                </c:pt>
                <c:pt idx="934">
                  <c:v>-5.9192706767903545</c:v>
                </c:pt>
                <c:pt idx="935">
                  <c:v>-5.9244945876125783</c:v>
                </c:pt>
                <c:pt idx="936">
                  <c:v>-5.9297185134627854</c:v>
                </c:pt>
                <c:pt idx="937">
                  <c:v>-5.9349424543404616</c:v>
                </c:pt>
                <c:pt idx="938">
                  <c:v>-5.9401664102450944</c:v>
                </c:pt>
                <c:pt idx="939">
                  <c:v>-5.9453903811761695</c:v>
                </c:pt>
                <c:pt idx="940">
                  <c:v>-5.9506143671331735</c:v>
                </c:pt>
                <c:pt idx="941">
                  <c:v>-5.9558383681155931</c:v>
                </c:pt>
                <c:pt idx="942">
                  <c:v>-5.9610623841229149</c:v>
                </c:pt>
                <c:pt idx="943">
                  <c:v>-5.9662864151546255</c:v>
                </c:pt>
                <c:pt idx="944">
                  <c:v>-5.9715104612102117</c:v>
                </c:pt>
                <c:pt idx="945">
                  <c:v>-5.9767345222891599</c:v>
                </c:pt>
                <c:pt idx="946">
                  <c:v>-5.9819585983909569</c:v>
                </c:pt>
                <c:pt idx="947">
                  <c:v>-5.9871826895150893</c:v>
                </c:pt>
                <c:pt idx="948">
                  <c:v>-5.9924067956610436</c:v>
                </c:pt>
                <c:pt idx="949">
                  <c:v>-5.9976309168283066</c:v>
                </c:pt>
                <c:pt idx="950">
                  <c:v>-6.0028550530163649</c:v>
                </c:pt>
                <c:pt idx="951">
                  <c:v>-6.0080792042247051</c:v>
                </c:pt>
                <c:pt idx="952">
                  <c:v>-6.0133033704528138</c:v>
                </c:pt>
                <c:pt idx="953">
                  <c:v>-6.0185275517001786</c:v>
                </c:pt>
                <c:pt idx="954">
                  <c:v>-6.0237517479662852</c:v>
                </c:pt>
                <c:pt idx="955">
                  <c:v>-6.0289759592506211</c:v>
                </c:pt>
                <c:pt idx="956">
                  <c:v>-6.034200185552673</c:v>
                </c:pt>
                <c:pt idx="957">
                  <c:v>-6.0394244268719275</c:v>
                </c:pt>
                <c:pt idx="958">
                  <c:v>-6.0446486832078712</c:v>
                </c:pt>
                <c:pt idx="959">
                  <c:v>-6.0498729545599916</c:v>
                </c:pt>
                <c:pt idx="960">
                  <c:v>-6.0550972409277746</c:v>
                </c:pt>
                <c:pt idx="961">
                  <c:v>-6.0603215423107075</c:v>
                </c:pt>
                <c:pt idx="962">
                  <c:v>-6.0655458587082771</c:v>
                </c:pt>
                <c:pt idx="963">
                  <c:v>-6.0707701901199709</c:v>
                </c:pt>
                <c:pt idx="964">
                  <c:v>-6.0759945365452754</c:v>
                </c:pt>
                <c:pt idx="965">
                  <c:v>-6.0812188979836774</c:v>
                </c:pt>
                <c:pt idx="966">
                  <c:v>-6.0864432744346635</c:v>
                </c:pt>
                <c:pt idx="967">
                  <c:v>-6.0916676658977211</c:v>
                </c:pt>
                <c:pt idx="968">
                  <c:v>-6.096892072372337</c:v>
                </c:pt>
                <c:pt idx="969">
                  <c:v>-6.1021164938579977</c:v>
                </c:pt>
                <c:pt idx="970">
                  <c:v>-6.1073409303541908</c:v>
                </c:pt>
                <c:pt idx="971">
                  <c:v>-6.1125653818604029</c:v>
                </c:pt>
                <c:pt idx="972">
                  <c:v>-6.1177898483761215</c:v>
                </c:pt>
                <c:pt idx="973">
                  <c:v>-6.1230143299008333</c:v>
                </c:pt>
                <c:pt idx="974">
                  <c:v>-6.1282388264340257</c:v>
                </c:pt>
                <c:pt idx="975">
                  <c:v>-6.1334633379751855</c:v>
                </c:pt>
                <c:pt idx="976">
                  <c:v>-6.1386878645237992</c:v>
                </c:pt>
                <c:pt idx="977">
                  <c:v>-6.1439124060793544</c:v>
                </c:pt>
                <c:pt idx="978">
                  <c:v>-6.1491369626413386</c:v>
                </c:pt>
                <c:pt idx="979">
                  <c:v>-6.1543615342092384</c:v>
                </c:pt>
                <c:pt idx="980">
                  <c:v>-6.1595861207825404</c:v>
                </c:pt>
                <c:pt idx="981">
                  <c:v>-6.1648107223607331</c:v>
                </c:pt>
                <c:pt idx="982">
                  <c:v>-6.1700353389433022</c:v>
                </c:pt>
                <c:pt idx="983">
                  <c:v>-6.1752599705297362</c:v>
                </c:pt>
                <c:pt idx="984">
                  <c:v>-6.1804846171195216</c:v>
                </c:pt>
                <c:pt idx="985">
                  <c:v>-6.185709278712145</c:v>
                </c:pt>
                <c:pt idx="986">
                  <c:v>-6.1909339553070941</c:v>
                </c:pt>
                <c:pt idx="987">
                  <c:v>-6.1961586469038563</c:v>
                </c:pt>
                <c:pt idx="988">
                  <c:v>-6.2013833535019192</c:v>
                </c:pt>
                <c:pt idx="989">
                  <c:v>-6.2066080751007693</c:v>
                </c:pt>
                <c:pt idx="990">
                  <c:v>-6.2118328116998942</c:v>
                </c:pt>
                <c:pt idx="991">
                  <c:v>-6.2170575632987815</c:v>
                </c:pt>
                <c:pt idx="992">
                  <c:v>-6.2222823298969177</c:v>
                </c:pt>
                <c:pt idx="993">
                  <c:v>-6.2275071114937903</c:v>
                </c:pt>
                <c:pt idx="994">
                  <c:v>-6.232731908088887</c:v>
                </c:pt>
                <c:pt idx="995">
                  <c:v>-6.2379567196816952</c:v>
                </c:pt>
                <c:pt idx="996">
                  <c:v>-6.2431815462717015</c:v>
                </c:pt>
                <c:pt idx="997">
                  <c:v>-6.2484063878583935</c:v>
                </c:pt>
                <c:pt idx="998">
                  <c:v>-6.2536312444412596</c:v>
                </c:pt>
                <c:pt idx="999">
                  <c:v>-6.2588561160197864</c:v>
                </c:pt>
                <c:pt idx="1000">
                  <c:v>-6.2640810025934606</c:v>
                </c:pt>
              </c:numCache>
            </c:numRef>
          </c:yVal>
          <c:smooth val="1"/>
          <c:extLst>
            <c:ext xmlns:c16="http://schemas.microsoft.com/office/drawing/2014/chart" uri="{C3380CC4-5D6E-409C-BE32-E72D297353CC}">
              <c16:uniqueId val="{00000001-4C7F-469F-ADED-1B0B28F452E1}"/>
            </c:ext>
          </c:extLst>
        </c:ser>
        <c:ser>
          <c:idx val="1"/>
          <c:order val="2"/>
          <c:tx>
            <c:strRef>
              <c:f>Trajecto!$B$108</c:f>
              <c:strCache>
                <c:ptCount val="1"/>
                <c:pt idx="0">
                  <c:v>Descente balistique</c:v>
                </c:pt>
              </c:strCache>
            </c:strRef>
          </c:tx>
          <c:spPr>
            <a:ln w="12700">
              <a:solidFill>
                <a:srgbClr val="808080"/>
              </a:solidFill>
              <a:prstDash val="sysDash"/>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Calculs!$K$4:$K$1004</c:f>
              <c:numCache>
                <c:formatCode>0.00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291.09189288107132</c:v>
                </c:pt>
                <c:pt idx="262">
                  <c:v>290.06069183048686</c:v>
                </c:pt>
                <c:pt idx="263">
                  <c:v>288.93559987586428</c:v>
                </c:pt>
                <c:pt idx="264">
                  <c:v>287.71722909449147</c:v>
                </c:pt>
                <c:pt idx="265">
                  <c:v>286.40623463936765</c:v>
                </c:pt>
                <c:pt idx="266">
                  <c:v>285.00331428028829</c:v>
                </c:pt>
                <c:pt idx="267">
                  <c:v>283.50920767750182</c:v>
                </c:pt>
                <c:pt idx="268">
                  <c:v>281.9246954376257</c:v>
                </c:pt>
                <c:pt idx="269">
                  <c:v>280.25059799104753</c:v>
                </c:pt>
                <c:pt idx="270">
                  <c:v>278.4877743220685</c:v>
                </c:pt>
                <c:pt idx="271">
                  <c:v>276.63712057704515</c:v>
                </c:pt>
                <c:pt idx="272">
                  <c:v>274.69956857128471</c:v>
                </c:pt>
                <c:pt idx="273">
                  <c:v>272.67608421207359</c:v>
                </c:pt>
                <c:pt idx="274">
                  <c:v>270.56766585267269</c:v>
                </c:pt>
                <c:pt idx="275">
                  <c:v>268.37534259017303</c:v>
                </c:pt>
                <c:pt idx="276">
                  <c:v>266.10017251860978</c:v>
                </c:pt>
                <c:pt idx="277">
                  <c:v>263.7432409475532</c:v>
                </c:pt>
                <c:pt idx="278">
                  <c:v>261.30565859544896</c:v>
                </c:pt>
                <c:pt idx="279">
                  <c:v>258.78855976619644</c:v>
                </c:pt>
                <c:pt idx="280">
                  <c:v>256.19310051679088</c:v>
                </c:pt>
                <c:pt idx="281">
                  <c:v>253.52045682327267</c:v>
                </c:pt>
                <c:pt idx="282">
                  <c:v>250.77182275170779</c:v>
                </c:pt>
                <c:pt idx="283">
                  <c:v>247.9484086404436</c:v>
                </c:pt>
                <c:pt idx="284">
                  <c:v>245.0514392994348</c:v>
                </c:pt>
                <c:pt idx="285">
                  <c:v>242.08215223200716</c:v>
                </c:pt>
                <c:pt idx="286">
                  <c:v>239.04179588401399</c:v>
                </c:pt>
                <c:pt idx="287">
                  <c:v>235.93162792494019</c:v>
                </c:pt>
                <c:pt idx="288">
                  <c:v>232.75291356511812</c:v>
                </c:pt>
                <c:pt idx="289">
                  <c:v>229.50692391283829</c:v>
                </c:pt>
                <c:pt idx="290">
                  <c:v>226.19493437476322</c:v>
                </c:pt>
                <c:pt idx="291">
                  <c:v>222.81822310268873</c:v>
                </c:pt>
                <c:pt idx="292">
                  <c:v>219.37806948934011</c:v>
                </c:pt>
                <c:pt idx="293">
                  <c:v>215.87575271554374</c:v>
                </c:pt>
                <c:pt idx="294">
                  <c:v>212.31255035077942</c:v>
                </c:pt>
                <c:pt idx="295">
                  <c:v>208.68973700879292</c:v>
                </c:pt>
                <c:pt idx="296">
                  <c:v>205.00858305963612</c:v>
                </c:pt>
                <c:pt idx="297">
                  <c:v>201.270353399203</c:v>
                </c:pt>
                <c:pt idx="298">
                  <c:v>197.47630627704319</c:v>
                </c:pt>
                <c:pt idx="299">
                  <c:v>193.62769218296484</c:v>
                </c:pt>
                <c:pt idx="300">
                  <c:v>189.72575279268128</c:v>
                </c:pt>
                <c:pt idx="301">
                  <c:v>185.77171997251639</c:v>
                </c:pt>
                <c:pt idx="302">
                  <c:v>181.76681484295801</c:v>
                </c:pt>
                <c:pt idx="303">
                  <c:v>177.71224690064031</c:v>
                </c:pt>
                <c:pt idx="304">
                  <c:v>173.6092131981431</c:v>
                </c:pt>
                <c:pt idx="305">
                  <c:v>169.45889758081921</c:v>
                </c:pt>
                <c:pt idx="306">
                  <c:v>165.2624699797</c:v>
                </c:pt>
                <c:pt idx="307">
                  <c:v>161.02108575938396</c:v>
                </c:pt>
                <c:pt idx="308">
                  <c:v>156.73588511968285</c:v>
                </c:pt>
                <c:pt idx="309">
                  <c:v>152.40799254968468</c:v>
                </c:pt>
                <c:pt idx="310">
                  <c:v>148.03851633279217</c:v>
                </c:pt>
                <c:pt idx="311">
                  <c:v>143.62854810120749</c:v>
                </c:pt>
                <c:pt idx="312">
                  <c:v>139.17916243826082</c:v>
                </c:pt>
                <c:pt idx="313">
                  <c:v>134.69141652691863</c:v>
                </c:pt>
                <c:pt idx="314">
                  <c:v>130.16634984275808</c:v>
                </c:pt>
                <c:pt idx="315">
                  <c:v>125.60498388965577</c:v>
                </c:pt>
                <c:pt idx="316">
                  <c:v>121.00832197641151</c:v>
                </c:pt>
                <c:pt idx="317">
                  <c:v>116.37734903250951</c:v>
                </c:pt>
                <c:pt idx="318">
                  <c:v>111.71303146121105</c:v>
                </c:pt>
                <c:pt idx="319">
                  <c:v>107.01631702817177</c:v>
                </c:pt>
                <c:pt idx="320">
                  <c:v>102.28813478378433</c:v>
                </c:pt>
                <c:pt idx="321">
                  <c:v>97.529395017461056</c:v>
                </c:pt>
                <c:pt idx="322">
                  <c:v>92.740989242092127</c:v>
                </c:pt>
                <c:pt idx="323">
                  <c:v>87.923790206940623</c:v>
                </c:pt>
                <c:pt idx="324">
                  <c:v>83.078651937267338</c:v>
                </c:pt>
                <c:pt idx="325">
                  <c:v>78.206409799013784</c:v>
                </c:pt>
                <c:pt idx="326">
                  <c:v>73.307880586911466</c:v>
                </c:pt>
                <c:pt idx="327">
                  <c:v>68.383862634428411</c:v>
                </c:pt>
                <c:pt idx="328">
                  <c:v>63.435135944009716</c:v>
                </c:pt>
                <c:pt idx="329">
                  <c:v>58.462462336117014</c:v>
                </c:pt>
                <c:pt idx="330">
                  <c:v>53.466585615621725</c:v>
                </c:pt>
                <c:pt idx="331">
                  <c:v>48.448231754158705</c:v>
                </c:pt>
                <c:pt idx="332">
                  <c:v>43.408109087099412</c:v>
                </c:pt>
                <c:pt idx="333">
                  <c:v>38.346908523857202</c:v>
                </c:pt>
                <c:pt idx="334">
                  <c:v>33.265303770291418</c:v>
                </c:pt>
                <c:pt idx="335">
                  <c:v>28.16395156203081</c:v>
                </c:pt>
                <c:pt idx="336">
                  <c:v>23.043491907591019</c:v>
                </c:pt>
                <c:pt idx="337">
                  <c:v>17.904548340214294</c:v>
                </c:pt>
                <c:pt idx="338">
                  <c:v>12.747728177412935</c:v>
                </c:pt>
                <c:pt idx="339">
                  <c:v>7.5736227872500832</c:v>
                </c:pt>
                <c:pt idx="340">
                  <c:v>2.3828078604431502</c:v>
                </c:pt>
                <c:pt idx="341">
                  <c:v>-2.8241563125745657</c:v>
                </c:pt>
                <c:pt idx="342">
                  <c:v>-2.8293712208732744</c:v>
                </c:pt>
                <c:pt idx="343">
                  <c:v>-2.834586144506956</c:v>
                </c:pt>
                <c:pt idx="344">
                  <c:v>-2.8398010834750882</c:v>
                </c:pt>
                <c:pt idx="345">
                  <c:v>-2.8450160377771492</c:v>
                </c:pt>
                <c:pt idx="346">
                  <c:v>-2.8502310074126171</c:v>
                </c:pt>
                <c:pt idx="347">
                  <c:v>-2.8554459923809703</c:v>
                </c:pt>
                <c:pt idx="348">
                  <c:v>-2.8606609926816868</c:v>
                </c:pt>
                <c:pt idx="349">
                  <c:v>-2.8658760083142449</c:v>
                </c:pt>
                <c:pt idx="350">
                  <c:v>-2.8710910392781224</c:v>
                </c:pt>
                <c:pt idx="351">
                  <c:v>-2.8763060855727978</c:v>
                </c:pt>
                <c:pt idx="352">
                  <c:v>-2.8815211471977493</c:v>
                </c:pt>
                <c:pt idx="353">
                  <c:v>-2.8867362241524552</c:v>
                </c:pt>
                <c:pt idx="354">
                  <c:v>-2.8919513164363937</c:v>
                </c:pt>
                <c:pt idx="355">
                  <c:v>-2.8971664240490429</c:v>
                </c:pt>
                <c:pt idx="356">
                  <c:v>-2.9023815469898815</c:v>
                </c:pt>
                <c:pt idx="357">
                  <c:v>-2.9075966852583872</c:v>
                </c:pt>
                <c:pt idx="358">
                  <c:v>-2.9128118388540387</c:v>
                </c:pt>
                <c:pt idx="359">
                  <c:v>-2.9180270077763142</c:v>
                </c:pt>
                <c:pt idx="360">
                  <c:v>-2.9232421920246923</c:v>
                </c:pt>
                <c:pt idx="361">
                  <c:v>-2.9284573915986511</c:v>
                </c:pt>
                <c:pt idx="362">
                  <c:v>-2.933672606497669</c:v>
                </c:pt>
                <c:pt idx="363">
                  <c:v>-2.9388878367212246</c:v>
                </c:pt>
                <c:pt idx="364">
                  <c:v>-2.9441030822687959</c:v>
                </c:pt>
                <c:pt idx="365">
                  <c:v>-2.9493183431398613</c:v>
                </c:pt>
                <c:pt idx="366">
                  <c:v>-2.9545336193338994</c:v>
                </c:pt>
                <c:pt idx="367">
                  <c:v>-2.9597489108503887</c:v>
                </c:pt>
                <c:pt idx="368">
                  <c:v>-2.9649642176888076</c:v>
                </c:pt>
                <c:pt idx="369">
                  <c:v>-2.9701795398486346</c:v>
                </c:pt>
                <c:pt idx="370">
                  <c:v>-2.9753948773293479</c:v>
                </c:pt>
                <c:pt idx="371">
                  <c:v>-2.9806102301304263</c:v>
                </c:pt>
                <c:pt idx="372">
                  <c:v>-2.9858255982513482</c:v>
                </c:pt>
                <c:pt idx="373">
                  <c:v>-2.9910409816915919</c:v>
                </c:pt>
                <c:pt idx="374">
                  <c:v>-2.9962563804506366</c:v>
                </c:pt>
                <c:pt idx="375">
                  <c:v>-3.0014717945279603</c:v>
                </c:pt>
                <c:pt idx="376">
                  <c:v>-3.0066872239230418</c:v>
                </c:pt>
                <c:pt idx="377">
                  <c:v>-3.0119026686353592</c:v>
                </c:pt>
                <c:pt idx="378">
                  <c:v>-3.0171181286643916</c:v>
                </c:pt>
                <c:pt idx="379">
                  <c:v>-3.0223336040096176</c:v>
                </c:pt>
                <c:pt idx="380">
                  <c:v>-3.0275490946705155</c:v>
                </c:pt>
                <c:pt idx="381">
                  <c:v>-3.0327646006465643</c:v>
                </c:pt>
                <c:pt idx="382">
                  <c:v>-3.0379801219372422</c:v>
                </c:pt>
                <c:pt idx="383">
                  <c:v>-3.0431956585420283</c:v>
                </c:pt>
                <c:pt idx="384">
                  <c:v>-3.0484112104604013</c:v>
                </c:pt>
                <c:pt idx="385">
                  <c:v>-3.0536267776918393</c:v>
                </c:pt>
                <c:pt idx="386">
                  <c:v>-3.0588423602358215</c:v>
                </c:pt>
                <c:pt idx="387">
                  <c:v>-3.0640579580918268</c:v>
                </c:pt>
                <c:pt idx="388">
                  <c:v>-3.0692735712593335</c:v>
                </c:pt>
                <c:pt idx="389">
                  <c:v>-3.0744891997378203</c:v>
                </c:pt>
                <c:pt idx="390">
                  <c:v>-3.0797048435267662</c:v>
                </c:pt>
                <c:pt idx="391">
                  <c:v>-3.0849205026256503</c:v>
                </c:pt>
                <c:pt idx="392">
                  <c:v>-3.0901361770339508</c:v>
                </c:pt>
                <c:pt idx="393">
                  <c:v>-3.0953518667511468</c:v>
                </c:pt>
                <c:pt idx="394">
                  <c:v>-3.1005675717767169</c:v>
                </c:pt>
                <c:pt idx="395">
                  <c:v>-3.1057832921101403</c:v>
                </c:pt>
                <c:pt idx="396">
                  <c:v>-3.1109990277508954</c:v>
                </c:pt>
                <c:pt idx="397">
                  <c:v>-3.1162147786984615</c:v>
                </c:pt>
                <c:pt idx="398">
                  <c:v>-3.1214305449523172</c:v>
                </c:pt>
                <c:pt idx="399">
                  <c:v>-3.1266463265119415</c:v>
                </c:pt>
                <c:pt idx="400">
                  <c:v>-3.1318621233768131</c:v>
                </c:pt>
                <c:pt idx="401">
                  <c:v>-3.1370779355464116</c:v>
                </c:pt>
                <c:pt idx="402">
                  <c:v>-3.142293763020215</c:v>
                </c:pt>
                <c:pt idx="403">
                  <c:v>-3.147509605797703</c:v>
                </c:pt>
                <c:pt idx="404">
                  <c:v>-3.1527254638783542</c:v>
                </c:pt>
                <c:pt idx="405">
                  <c:v>-3.1579413372616476</c:v>
                </c:pt>
                <c:pt idx="406">
                  <c:v>-3.1631572259470619</c:v>
                </c:pt>
                <c:pt idx="407">
                  <c:v>-3.1683731299340767</c:v>
                </c:pt>
                <c:pt idx="408">
                  <c:v>-3.1735890492221706</c:v>
                </c:pt>
                <c:pt idx="409">
                  <c:v>-3.1788049838108225</c:v>
                </c:pt>
                <c:pt idx="410">
                  <c:v>-3.1840209336995122</c:v>
                </c:pt>
                <c:pt idx="411">
                  <c:v>-3.1892368988877182</c:v>
                </c:pt>
                <c:pt idx="412">
                  <c:v>-3.1944528793749196</c:v>
                </c:pt>
                <c:pt idx="413">
                  <c:v>-3.1996688751605955</c:v>
                </c:pt>
                <c:pt idx="414">
                  <c:v>-3.204884886244225</c:v>
                </c:pt>
                <c:pt idx="415">
                  <c:v>-3.2101009126252871</c:v>
                </c:pt>
                <c:pt idx="416">
                  <c:v>-3.2153169543032614</c:v>
                </c:pt>
                <c:pt idx="417">
                  <c:v>-3.2205330112776265</c:v>
                </c:pt>
                <c:pt idx="418">
                  <c:v>-3.2257490835478619</c:v>
                </c:pt>
                <c:pt idx="419">
                  <c:v>-3.2309651711134468</c:v>
                </c:pt>
                <c:pt idx="420">
                  <c:v>-3.2361812739738602</c:v>
                </c:pt>
                <c:pt idx="421">
                  <c:v>-3.2413973921285812</c:v>
                </c:pt>
                <c:pt idx="422">
                  <c:v>-3.2466135255770894</c:v>
                </c:pt>
                <c:pt idx="423">
                  <c:v>-3.2518296743188637</c:v>
                </c:pt>
                <c:pt idx="424">
                  <c:v>-3.2570458383533838</c:v>
                </c:pt>
                <c:pt idx="425">
                  <c:v>-3.2622620176801282</c:v>
                </c:pt>
                <c:pt idx="426">
                  <c:v>-3.267478212298577</c:v>
                </c:pt>
                <c:pt idx="427">
                  <c:v>-3.2726944222082088</c:v>
                </c:pt>
                <c:pt idx="428">
                  <c:v>-3.2779106474085036</c:v>
                </c:pt>
                <c:pt idx="429">
                  <c:v>-3.2831268878989399</c:v>
                </c:pt>
                <c:pt idx="430">
                  <c:v>-3.2883431436789978</c:v>
                </c:pt>
                <c:pt idx="431">
                  <c:v>-3.2935594147481564</c:v>
                </c:pt>
                <c:pt idx="432">
                  <c:v>-3.2987757011058947</c:v>
                </c:pt>
                <c:pt idx="433">
                  <c:v>-3.3039920027516922</c:v>
                </c:pt>
                <c:pt idx="434">
                  <c:v>-3.3092083196850286</c:v>
                </c:pt>
                <c:pt idx="435">
                  <c:v>-3.3144246519053833</c:v>
                </c:pt>
                <c:pt idx="436">
                  <c:v>-3.3196409994122353</c:v>
                </c:pt>
                <c:pt idx="437">
                  <c:v>-3.3248573622050643</c:v>
                </c:pt>
                <c:pt idx="438">
                  <c:v>-3.3300737402833498</c:v>
                </c:pt>
                <c:pt idx="439">
                  <c:v>-3.3352901336465712</c:v>
                </c:pt>
                <c:pt idx="440">
                  <c:v>-3.3405065422942077</c:v>
                </c:pt>
                <c:pt idx="441">
                  <c:v>-3.3457229662257393</c:v>
                </c:pt>
                <c:pt idx="442">
                  <c:v>-3.3509394054406454</c:v>
                </c:pt>
                <c:pt idx="443">
                  <c:v>-3.3561558599384052</c:v>
                </c:pt>
                <c:pt idx="444">
                  <c:v>-3.3613723297184985</c:v>
                </c:pt>
                <c:pt idx="445">
                  <c:v>-3.3665888147804046</c:v>
                </c:pt>
                <c:pt idx="446">
                  <c:v>-3.3718053151236034</c:v>
                </c:pt>
                <c:pt idx="447">
                  <c:v>-3.3770218307475743</c:v>
                </c:pt>
                <c:pt idx="448">
                  <c:v>-3.3822383616517966</c:v>
                </c:pt>
                <c:pt idx="449">
                  <c:v>-3.3874549078357501</c:v>
                </c:pt>
                <c:pt idx="450">
                  <c:v>-3.3926714692989148</c:v>
                </c:pt>
                <c:pt idx="451">
                  <c:v>-3.3978880460407699</c:v>
                </c:pt>
                <c:pt idx="452">
                  <c:v>-3.4031046380607952</c:v>
                </c:pt>
                <c:pt idx="453">
                  <c:v>-3.4083212453584704</c:v>
                </c:pt>
                <c:pt idx="454">
                  <c:v>-3.4135378679332748</c:v>
                </c:pt>
                <c:pt idx="455">
                  <c:v>-3.4187545057846886</c:v>
                </c:pt>
                <c:pt idx="456">
                  <c:v>-3.4239711589121913</c:v>
                </c:pt>
                <c:pt idx="457">
                  <c:v>-3.4291878273152627</c:v>
                </c:pt>
                <c:pt idx="458">
                  <c:v>-3.4344045109933825</c:v>
                </c:pt>
                <c:pt idx="459">
                  <c:v>-3.4396212099460302</c:v>
                </c:pt>
                <c:pt idx="460">
                  <c:v>-3.4448379241726856</c:v>
                </c:pt>
                <c:pt idx="461">
                  <c:v>-3.4500546536728289</c:v>
                </c:pt>
                <c:pt idx="462">
                  <c:v>-3.4552713984459396</c:v>
                </c:pt>
                <c:pt idx="463">
                  <c:v>-3.4604881584914975</c:v>
                </c:pt>
                <c:pt idx="464">
                  <c:v>-3.4657049338089823</c:v>
                </c:pt>
                <c:pt idx="465">
                  <c:v>-3.4709217243978738</c:v>
                </c:pt>
                <c:pt idx="466">
                  <c:v>-3.4761385302576522</c:v>
                </c:pt>
                <c:pt idx="467">
                  <c:v>-3.4813553513877973</c:v>
                </c:pt>
                <c:pt idx="468">
                  <c:v>-3.4865721877877887</c:v>
                </c:pt>
                <c:pt idx="469">
                  <c:v>-3.4917890394571063</c:v>
                </c:pt>
                <c:pt idx="470">
                  <c:v>-3.4970059063952301</c:v>
                </c:pt>
                <c:pt idx="471">
                  <c:v>-3.5022227886016402</c:v>
                </c:pt>
                <c:pt idx="472">
                  <c:v>-3.5074396860758164</c:v>
                </c:pt>
                <c:pt idx="473">
                  <c:v>-3.5126565988172382</c:v>
                </c:pt>
                <c:pt idx="474">
                  <c:v>-3.5178735268253862</c:v>
                </c:pt>
                <c:pt idx="475">
                  <c:v>-3.5230904700997403</c:v>
                </c:pt>
                <c:pt idx="476">
                  <c:v>-3.52830742863978</c:v>
                </c:pt>
                <c:pt idx="477">
                  <c:v>-3.5335244024449857</c:v>
                </c:pt>
                <c:pt idx="478">
                  <c:v>-3.5387413915148374</c:v>
                </c:pt>
                <c:pt idx="479">
                  <c:v>-3.543958395848815</c:v>
                </c:pt>
                <c:pt idx="480">
                  <c:v>-3.5491754154463986</c:v>
                </c:pt>
                <c:pt idx="481">
                  <c:v>-3.5543924503070685</c:v>
                </c:pt>
                <c:pt idx="482">
                  <c:v>-3.5596095004303043</c:v>
                </c:pt>
                <c:pt idx="483">
                  <c:v>-3.5648265658155864</c:v>
                </c:pt>
                <c:pt idx="484">
                  <c:v>-3.5700436464623948</c:v>
                </c:pt>
                <c:pt idx="485">
                  <c:v>-3.5752607423702099</c:v>
                </c:pt>
                <c:pt idx="486">
                  <c:v>-3.5804778535385116</c:v>
                </c:pt>
                <c:pt idx="487">
                  <c:v>-3.5856949799667799</c:v>
                </c:pt>
                <c:pt idx="488">
                  <c:v>-3.5909121216544948</c:v>
                </c:pt>
                <c:pt idx="489">
                  <c:v>-3.5961292786011372</c:v>
                </c:pt>
                <c:pt idx="490">
                  <c:v>-3.6013464508061865</c:v>
                </c:pt>
                <c:pt idx="491">
                  <c:v>-3.6065636382691233</c:v>
                </c:pt>
                <c:pt idx="492">
                  <c:v>-3.6117808409894279</c:v>
                </c:pt>
                <c:pt idx="493">
                  <c:v>-3.6169980589665802</c:v>
                </c:pt>
                <c:pt idx="494">
                  <c:v>-3.6222152922000608</c:v>
                </c:pt>
                <c:pt idx="495">
                  <c:v>-3.6274325406893495</c:v>
                </c:pt>
                <c:pt idx="496">
                  <c:v>-3.6326498044339268</c:v>
                </c:pt>
                <c:pt idx="497">
                  <c:v>-3.6378670834332731</c:v>
                </c:pt>
                <c:pt idx="498">
                  <c:v>-3.6430843776868689</c:v>
                </c:pt>
                <c:pt idx="499">
                  <c:v>-3.648301687194194</c:v>
                </c:pt>
                <c:pt idx="500">
                  <c:v>-3.6535190119547289</c:v>
                </c:pt>
                <c:pt idx="501">
                  <c:v>-3.6587363519679541</c:v>
                </c:pt>
                <c:pt idx="502">
                  <c:v>-3.6639537072333499</c:v>
                </c:pt>
                <c:pt idx="503">
                  <c:v>-3.6691710777503967</c:v>
                </c:pt>
                <c:pt idx="504">
                  <c:v>-3.6743884635185746</c:v>
                </c:pt>
                <c:pt idx="505">
                  <c:v>-3.6796058645373644</c:v>
                </c:pt>
                <c:pt idx="506">
                  <c:v>-3.6848232808062464</c:v>
                </c:pt>
                <c:pt idx="507">
                  <c:v>-3.6900407123247008</c:v>
                </c:pt>
                <c:pt idx="508">
                  <c:v>-3.6952581590922082</c:v>
                </c:pt>
                <c:pt idx="509">
                  <c:v>-3.7004756211082492</c:v>
                </c:pt>
                <c:pt idx="510">
                  <c:v>-3.7056930983723042</c:v>
                </c:pt>
                <c:pt idx="511">
                  <c:v>-3.7109105908838536</c:v>
                </c:pt>
                <c:pt idx="512">
                  <c:v>-3.7161280986423777</c:v>
                </c:pt>
                <c:pt idx="513">
                  <c:v>-3.7213456216473575</c:v>
                </c:pt>
                <c:pt idx="514">
                  <c:v>-3.7265631598982729</c:v>
                </c:pt>
                <c:pt idx="515">
                  <c:v>-3.7317807133946048</c:v>
                </c:pt>
                <c:pt idx="516">
                  <c:v>-3.7369982821358341</c:v>
                </c:pt>
                <c:pt idx="517">
                  <c:v>-3.7422158661214406</c:v>
                </c:pt>
                <c:pt idx="518">
                  <c:v>-3.7474334653509054</c:v>
                </c:pt>
                <c:pt idx="519">
                  <c:v>-3.7526510798237092</c:v>
                </c:pt>
                <c:pt idx="520">
                  <c:v>-3.7578687095393324</c:v>
                </c:pt>
                <c:pt idx="521">
                  <c:v>-3.7630863544972555</c:v>
                </c:pt>
                <c:pt idx="522">
                  <c:v>-3.7683040146969593</c:v>
                </c:pt>
                <c:pt idx="523">
                  <c:v>-3.7735216901379247</c:v>
                </c:pt>
                <c:pt idx="524">
                  <c:v>-3.7787393808196321</c:v>
                </c:pt>
                <c:pt idx="525">
                  <c:v>-3.7839570867415619</c:v>
                </c:pt>
                <c:pt idx="526">
                  <c:v>-3.7891748079031951</c:v>
                </c:pt>
                <c:pt idx="527">
                  <c:v>-3.7943925443040123</c:v>
                </c:pt>
                <c:pt idx="528">
                  <c:v>-3.7996102959434945</c:v>
                </c:pt>
                <c:pt idx="529">
                  <c:v>-3.8048280628211222</c:v>
                </c:pt>
                <c:pt idx="530">
                  <c:v>-3.8100458449363761</c:v>
                </c:pt>
                <c:pt idx="531">
                  <c:v>-3.8152636422887372</c:v>
                </c:pt>
                <c:pt idx="532">
                  <c:v>-3.8204814548776862</c:v>
                </c:pt>
                <c:pt idx="533">
                  <c:v>-3.8256992827027037</c:v>
                </c:pt>
                <c:pt idx="534">
                  <c:v>-3.8309171257632708</c:v>
                </c:pt>
                <c:pt idx="535">
                  <c:v>-3.8361349840588681</c:v>
                </c:pt>
                <c:pt idx="536">
                  <c:v>-3.8413528575889768</c:v>
                </c:pt>
                <c:pt idx="537">
                  <c:v>-3.8465707463530774</c:v>
                </c:pt>
                <c:pt idx="538">
                  <c:v>-3.8517886503506507</c:v>
                </c:pt>
                <c:pt idx="539">
                  <c:v>-3.8570065695811779</c:v>
                </c:pt>
                <c:pt idx="540">
                  <c:v>-3.8622245040441396</c:v>
                </c:pt>
                <c:pt idx="541">
                  <c:v>-3.8674424537390171</c:v>
                </c:pt>
                <c:pt idx="542">
                  <c:v>-3.8726604186652906</c:v>
                </c:pt>
                <c:pt idx="543">
                  <c:v>-3.8778783988224417</c:v>
                </c:pt>
                <c:pt idx="544">
                  <c:v>-3.883096394209951</c:v>
                </c:pt>
                <c:pt idx="545">
                  <c:v>-3.8883144048273</c:v>
                </c:pt>
                <c:pt idx="546">
                  <c:v>-3.8935324306739689</c:v>
                </c:pt>
                <c:pt idx="547">
                  <c:v>-3.8987504717494392</c:v>
                </c:pt>
                <c:pt idx="548">
                  <c:v>-3.9039685280531922</c:v>
                </c:pt>
                <c:pt idx="549">
                  <c:v>-3.9091865995847082</c:v>
                </c:pt>
                <c:pt idx="550">
                  <c:v>-3.9144046863434685</c:v>
                </c:pt>
                <c:pt idx="551">
                  <c:v>-3.9196227883289545</c:v>
                </c:pt>
                <c:pt idx="552">
                  <c:v>-3.924840905540647</c:v>
                </c:pt>
                <c:pt idx="553">
                  <c:v>-3.9300590379780269</c:v>
                </c:pt>
                <c:pt idx="554">
                  <c:v>-3.9352771856405755</c:v>
                </c:pt>
                <c:pt idx="555">
                  <c:v>-3.9404953485277741</c:v>
                </c:pt>
                <c:pt idx="556">
                  <c:v>-3.9457135266391035</c:v>
                </c:pt>
                <c:pt idx="557">
                  <c:v>-3.950931719974045</c:v>
                </c:pt>
                <c:pt idx="558">
                  <c:v>-3.9561499285320796</c:v>
                </c:pt>
                <c:pt idx="559">
                  <c:v>-3.9613681523126885</c:v>
                </c:pt>
                <c:pt idx="560">
                  <c:v>-3.966586391315353</c:v>
                </c:pt>
                <c:pt idx="561">
                  <c:v>-3.9718046455395544</c:v>
                </c:pt>
                <c:pt idx="562">
                  <c:v>-3.9770229149847736</c:v>
                </c:pt>
                <c:pt idx="563">
                  <c:v>-3.9822411996504918</c:v>
                </c:pt>
                <c:pt idx="564">
                  <c:v>-3.9874594995361905</c:v>
                </c:pt>
                <c:pt idx="565">
                  <c:v>-3.9926778146413509</c:v>
                </c:pt>
                <c:pt idx="566">
                  <c:v>-3.9978961449654542</c:v>
                </c:pt>
                <c:pt idx="567">
                  <c:v>-4.0031144905079818</c:v>
                </c:pt>
                <c:pt idx="568">
                  <c:v>-4.0083328512684151</c:v>
                </c:pt>
                <c:pt idx="569">
                  <c:v>-4.0135512272462348</c:v>
                </c:pt>
                <c:pt idx="570">
                  <c:v>-4.0187696184409232</c:v>
                </c:pt>
                <c:pt idx="571">
                  <c:v>-4.0239880248519606</c:v>
                </c:pt>
                <c:pt idx="572">
                  <c:v>-4.0292064464788284</c:v>
                </c:pt>
                <c:pt idx="573">
                  <c:v>-4.0344248833210088</c:v>
                </c:pt>
                <c:pt idx="574">
                  <c:v>-4.039643335377983</c:v>
                </c:pt>
                <c:pt idx="575">
                  <c:v>-4.0448618026492316</c:v>
                </c:pt>
                <c:pt idx="576">
                  <c:v>-4.0500802851342366</c:v>
                </c:pt>
                <c:pt idx="577">
                  <c:v>-4.0552987828324794</c:v>
                </c:pt>
                <c:pt idx="578">
                  <c:v>-4.0605172957434412</c:v>
                </c:pt>
                <c:pt idx="579">
                  <c:v>-4.0657358238666044</c:v>
                </c:pt>
                <c:pt idx="580">
                  <c:v>-4.0709543672014492</c:v>
                </c:pt>
                <c:pt idx="581">
                  <c:v>-4.0761729257474579</c:v>
                </c:pt>
                <c:pt idx="582">
                  <c:v>-4.0813914995041118</c:v>
                </c:pt>
                <c:pt idx="583">
                  <c:v>-4.0866100884708922</c:v>
                </c:pt>
                <c:pt idx="584">
                  <c:v>-4.0918286926472804</c:v>
                </c:pt>
                <c:pt idx="585">
                  <c:v>-4.0970473120327586</c:v>
                </c:pt>
                <c:pt idx="586">
                  <c:v>-4.1022659466268081</c:v>
                </c:pt>
                <c:pt idx="587">
                  <c:v>-4.1074845964289102</c:v>
                </c:pt>
                <c:pt idx="588">
                  <c:v>-4.1127032614385461</c:v>
                </c:pt>
                <c:pt idx="589">
                  <c:v>-4.1179219416551982</c:v>
                </c:pt>
                <c:pt idx="590">
                  <c:v>-4.1231406370783477</c:v>
                </c:pt>
                <c:pt idx="591">
                  <c:v>-4.1283593477074767</c:v>
                </c:pt>
                <c:pt idx="592">
                  <c:v>-4.1335780735420666</c:v>
                </c:pt>
                <c:pt idx="593">
                  <c:v>-4.1387968145815988</c:v>
                </c:pt>
                <c:pt idx="594">
                  <c:v>-4.1440155708255553</c:v>
                </c:pt>
                <c:pt idx="595">
                  <c:v>-4.1492343422734175</c:v>
                </c:pt>
                <c:pt idx="596">
                  <c:v>-4.1544531289246667</c:v>
                </c:pt>
                <c:pt idx="597">
                  <c:v>-4.1596719307787851</c:v>
                </c:pt>
                <c:pt idx="598">
                  <c:v>-4.1648907478352548</c:v>
                </c:pt>
                <c:pt idx="599">
                  <c:v>-4.1701095800935573</c:v>
                </c:pt>
                <c:pt idx="600">
                  <c:v>-4.1753284275531737</c:v>
                </c:pt>
                <c:pt idx="601">
                  <c:v>-4.1805472902135863</c:v>
                </c:pt>
                <c:pt idx="602">
                  <c:v>-4.1857661680742773</c:v>
                </c:pt>
                <c:pt idx="603">
                  <c:v>-4.1909850611347279</c:v>
                </c:pt>
                <c:pt idx="604">
                  <c:v>-4.1962039693944195</c:v>
                </c:pt>
                <c:pt idx="605">
                  <c:v>-4.2014228928528352</c:v>
                </c:pt>
                <c:pt idx="606">
                  <c:v>-4.2066418315094554</c:v>
                </c:pt>
                <c:pt idx="607">
                  <c:v>-4.2118607853637631</c:v>
                </c:pt>
                <c:pt idx="608">
                  <c:v>-4.2170797544152396</c:v>
                </c:pt>
                <c:pt idx="609">
                  <c:v>-4.2222987386633664</c:v>
                </c:pt>
                <c:pt idx="610">
                  <c:v>-4.2275177381076263</c:v>
                </c:pt>
                <c:pt idx="611">
                  <c:v>-4.2327367527475008</c:v>
                </c:pt>
                <c:pt idx="612">
                  <c:v>-4.2379557825824712</c:v>
                </c:pt>
                <c:pt idx="613">
                  <c:v>-4.2431748276120205</c:v>
                </c:pt>
                <c:pt idx="614">
                  <c:v>-4.24839388783563</c:v>
                </c:pt>
                <c:pt idx="615">
                  <c:v>-4.2536129632527819</c:v>
                </c:pt>
                <c:pt idx="616">
                  <c:v>-4.2588320538629576</c:v>
                </c:pt>
                <c:pt idx="617">
                  <c:v>-4.2640511596656401</c:v>
                </c:pt>
                <c:pt idx="618">
                  <c:v>-4.2692702806603107</c:v>
                </c:pt>
                <c:pt idx="619">
                  <c:v>-4.2744894168464516</c:v>
                </c:pt>
                <c:pt idx="620">
                  <c:v>-4.279708568223545</c:v>
                </c:pt>
                <c:pt idx="621">
                  <c:v>-4.2849277347910721</c:v>
                </c:pt>
                <c:pt idx="622">
                  <c:v>-4.2901469165485162</c:v>
                </c:pt>
                <c:pt idx="623">
                  <c:v>-4.2953661134953585</c:v>
                </c:pt>
                <c:pt idx="624">
                  <c:v>-4.3005853256310811</c:v>
                </c:pt>
                <c:pt idx="625">
                  <c:v>-4.3058045529551672</c:v>
                </c:pt>
                <c:pt idx="626">
                  <c:v>-4.311023795467098</c:v>
                </c:pt>
                <c:pt idx="627">
                  <c:v>-4.3162430531663558</c:v>
                </c:pt>
                <c:pt idx="628">
                  <c:v>-4.3214623260524219</c:v>
                </c:pt>
                <c:pt idx="629">
                  <c:v>-4.3266816141247793</c:v>
                </c:pt>
                <c:pt idx="630">
                  <c:v>-4.3319009173829102</c:v>
                </c:pt>
                <c:pt idx="631">
                  <c:v>-4.3371202358262968</c:v>
                </c:pt>
                <c:pt idx="632">
                  <c:v>-4.3423395694544213</c:v>
                </c:pt>
                <c:pt idx="633">
                  <c:v>-4.347558918266766</c:v>
                </c:pt>
                <c:pt idx="634">
                  <c:v>-4.3527782822628129</c:v>
                </c:pt>
                <c:pt idx="635">
                  <c:v>-4.3579976614420444</c:v>
                </c:pt>
                <c:pt idx="636">
                  <c:v>-4.3632170558039425</c:v>
                </c:pt>
                <c:pt idx="637">
                  <c:v>-4.3684364653479895</c:v>
                </c:pt>
                <c:pt idx="638">
                  <c:v>-4.3736558900736675</c:v>
                </c:pt>
                <c:pt idx="639">
                  <c:v>-4.3788753299804597</c:v>
                </c:pt>
                <c:pt idx="640">
                  <c:v>-4.3840947850678473</c:v>
                </c:pt>
                <c:pt idx="641">
                  <c:v>-4.3893142553353135</c:v>
                </c:pt>
                <c:pt idx="642">
                  <c:v>-4.3945337407823404</c:v>
                </c:pt>
                <c:pt idx="643">
                  <c:v>-4.3997532414084102</c:v>
                </c:pt>
                <c:pt idx="644">
                  <c:v>-4.4049727572130051</c:v>
                </c:pt>
                <c:pt idx="645">
                  <c:v>-4.4101922881956073</c:v>
                </c:pt>
                <c:pt idx="646">
                  <c:v>-4.4154118343556998</c:v>
                </c:pt>
                <c:pt idx="647">
                  <c:v>-4.420631395692765</c:v>
                </c:pt>
                <c:pt idx="648">
                  <c:v>-4.4258509722062849</c:v>
                </c:pt>
                <c:pt idx="649">
                  <c:v>-4.4310705638957426</c:v>
                </c:pt>
                <c:pt idx="650">
                  <c:v>-4.4362901707606204</c:v>
                </c:pt>
                <c:pt idx="651">
                  <c:v>-4.4415097928004004</c:v>
                </c:pt>
                <c:pt idx="652">
                  <c:v>-4.4467294300145648</c:v>
                </c:pt>
                <c:pt idx="653">
                  <c:v>-4.4519490824025967</c:v>
                </c:pt>
                <c:pt idx="654">
                  <c:v>-4.4571687499639783</c:v>
                </c:pt>
                <c:pt idx="655">
                  <c:v>-4.4623884326981926</c:v>
                </c:pt>
                <c:pt idx="656">
                  <c:v>-4.4676081306047211</c:v>
                </c:pt>
                <c:pt idx="657">
                  <c:v>-4.4728278436830475</c:v>
                </c:pt>
                <c:pt idx="658">
                  <c:v>-4.4780475719326542</c:v>
                </c:pt>
                <c:pt idx="659">
                  <c:v>-4.4832673153530234</c:v>
                </c:pt>
                <c:pt idx="660">
                  <c:v>-4.4884870739436371</c:v>
                </c:pt>
                <c:pt idx="661">
                  <c:v>-4.4937068477039794</c:v>
                </c:pt>
                <c:pt idx="662">
                  <c:v>-4.4989266366335317</c:v>
                </c:pt>
                <c:pt idx="663">
                  <c:v>-4.5041464407317768</c:v>
                </c:pt>
                <c:pt idx="664">
                  <c:v>-4.5093662599981981</c:v>
                </c:pt>
                <c:pt idx="665">
                  <c:v>-4.5145860944322775</c:v>
                </c:pt>
                <c:pt idx="666">
                  <c:v>-4.5198059440334983</c:v>
                </c:pt>
                <c:pt idx="667">
                  <c:v>-4.5250258088013426</c:v>
                </c:pt>
                <c:pt idx="668">
                  <c:v>-4.5302456887352935</c:v>
                </c:pt>
                <c:pt idx="669">
                  <c:v>-4.5354655838348332</c:v>
                </c:pt>
                <c:pt idx="670">
                  <c:v>-4.5406854940994457</c:v>
                </c:pt>
                <c:pt idx="671">
                  <c:v>-4.5459054195286122</c:v>
                </c:pt>
                <c:pt idx="672">
                  <c:v>-4.5511253601218167</c:v>
                </c:pt>
                <c:pt idx="673">
                  <c:v>-4.5563453158785414</c:v>
                </c:pt>
                <c:pt idx="674">
                  <c:v>-4.5615652867982686</c:v>
                </c:pt>
                <c:pt idx="675">
                  <c:v>-4.5667852728804821</c:v>
                </c:pt>
                <c:pt idx="676">
                  <c:v>-4.5720052741246642</c:v>
                </c:pt>
                <c:pt idx="677">
                  <c:v>-4.5772252905302979</c:v>
                </c:pt>
                <c:pt idx="678">
                  <c:v>-4.5824453220968655</c:v>
                </c:pt>
                <c:pt idx="679">
                  <c:v>-4.5876653688238509</c:v>
                </c:pt>
                <c:pt idx="680">
                  <c:v>-4.5928854307107363</c:v>
                </c:pt>
                <c:pt idx="681">
                  <c:v>-4.5981055077570048</c:v>
                </c:pt>
                <c:pt idx="682">
                  <c:v>-4.6033255999621394</c:v>
                </c:pt>
                <c:pt idx="683">
                  <c:v>-4.6085457073256224</c:v>
                </c:pt>
                <c:pt idx="684">
                  <c:v>-4.6137658298469377</c:v>
                </c:pt>
                <c:pt idx="685">
                  <c:v>-4.6189859675255676</c:v>
                </c:pt>
                <c:pt idx="686">
                  <c:v>-4.624206120360995</c:v>
                </c:pt>
                <c:pt idx="687">
                  <c:v>-4.6294262883527031</c:v>
                </c:pt>
                <c:pt idx="688">
                  <c:v>-4.6346464715001749</c:v>
                </c:pt>
                <c:pt idx="689">
                  <c:v>-4.6398666698028936</c:v>
                </c:pt>
                <c:pt idx="690">
                  <c:v>-4.6450868832603422</c:v>
                </c:pt>
                <c:pt idx="691">
                  <c:v>-4.650307111872003</c:v>
                </c:pt>
                <c:pt idx="692">
                  <c:v>-4.6555273556373598</c:v>
                </c:pt>
                <c:pt idx="693">
                  <c:v>-4.6607476145558957</c:v>
                </c:pt>
                <c:pt idx="694">
                  <c:v>-4.665967888627093</c:v>
                </c:pt>
                <c:pt idx="695">
                  <c:v>-4.6711881778504356</c:v>
                </c:pt>
                <c:pt idx="696">
                  <c:v>-4.6764084822254066</c:v>
                </c:pt>
                <c:pt idx="697">
                  <c:v>-4.6816288017514891</c:v>
                </c:pt>
                <c:pt idx="698">
                  <c:v>-4.6868491364281661</c:v>
                </c:pt>
                <c:pt idx="699">
                  <c:v>-4.6920694862549199</c:v>
                </c:pt>
                <c:pt idx="700">
                  <c:v>-4.6972898512312344</c:v>
                </c:pt>
                <c:pt idx="701">
                  <c:v>-4.7025102313565936</c:v>
                </c:pt>
                <c:pt idx="702">
                  <c:v>-4.7077306266304797</c:v>
                </c:pt>
                <c:pt idx="703">
                  <c:v>-4.7129510370523757</c:v>
                </c:pt>
                <c:pt idx="704">
                  <c:v>-4.7181714626217657</c:v>
                </c:pt>
                <c:pt idx="705">
                  <c:v>-4.7233919033381326</c:v>
                </c:pt>
                <c:pt idx="706">
                  <c:v>-4.7286123592009588</c:v>
                </c:pt>
                <c:pt idx="707">
                  <c:v>-4.733832830209729</c:v>
                </c:pt>
                <c:pt idx="708">
                  <c:v>-4.7390533163639255</c:v>
                </c:pt>
                <c:pt idx="709">
                  <c:v>-4.7442738176630321</c:v>
                </c:pt>
                <c:pt idx="710">
                  <c:v>-4.7494943341065312</c:v>
                </c:pt>
                <c:pt idx="711">
                  <c:v>-4.7547148656939076</c:v>
                </c:pt>
                <c:pt idx="712">
                  <c:v>-4.7599354124246434</c:v>
                </c:pt>
                <c:pt idx="713">
                  <c:v>-4.7651559742982226</c:v>
                </c:pt>
                <c:pt idx="714">
                  <c:v>-4.7703765513141283</c:v>
                </c:pt>
                <c:pt idx="715">
                  <c:v>-4.7755971434718436</c:v>
                </c:pt>
                <c:pt idx="716">
                  <c:v>-4.7808177507708525</c:v>
                </c:pt>
                <c:pt idx="717">
                  <c:v>-4.786038373210638</c:v>
                </c:pt>
                <c:pt idx="718">
                  <c:v>-4.7912590107906832</c:v>
                </c:pt>
                <c:pt idx="719">
                  <c:v>-4.7964796635104721</c:v>
                </c:pt>
                <c:pt idx="720">
                  <c:v>-4.8017003313694877</c:v>
                </c:pt>
                <c:pt idx="721">
                  <c:v>-4.8069210143672141</c:v>
                </c:pt>
                <c:pt idx="722">
                  <c:v>-4.8121417125031343</c:v>
                </c:pt>
                <c:pt idx="723">
                  <c:v>-4.8173624257767322</c:v>
                </c:pt>
                <c:pt idx="724">
                  <c:v>-4.8225831541874911</c:v>
                </c:pt>
                <c:pt idx="725">
                  <c:v>-4.8278038977348947</c:v>
                </c:pt>
                <c:pt idx="726">
                  <c:v>-4.8330246564184263</c:v>
                </c:pt>
                <c:pt idx="727">
                  <c:v>-4.8382454302375688</c:v>
                </c:pt>
                <c:pt idx="728">
                  <c:v>-4.8434662191918063</c:v>
                </c:pt>
                <c:pt idx="729">
                  <c:v>-4.8486870232806227</c:v>
                </c:pt>
                <c:pt idx="730">
                  <c:v>-4.8539078425035012</c:v>
                </c:pt>
                <c:pt idx="731">
                  <c:v>-4.8591286768599256</c:v>
                </c:pt>
                <c:pt idx="732">
                  <c:v>-4.8643495263493799</c:v>
                </c:pt>
                <c:pt idx="733">
                  <c:v>-4.8695703909713473</c:v>
                </c:pt>
                <c:pt idx="734">
                  <c:v>-4.8747912707253116</c:v>
                </c:pt>
                <c:pt idx="735">
                  <c:v>-4.880012165610756</c:v>
                </c:pt>
                <c:pt idx="736">
                  <c:v>-4.8852330756271645</c:v>
                </c:pt>
                <c:pt idx="737">
                  <c:v>-4.8904540007740209</c:v>
                </c:pt>
                <c:pt idx="738">
                  <c:v>-4.8956749410508085</c:v>
                </c:pt>
                <c:pt idx="739">
                  <c:v>-4.9008958964570111</c:v>
                </c:pt>
                <c:pt idx="740">
                  <c:v>-4.9061168669921127</c:v>
                </c:pt>
                <c:pt idx="741">
                  <c:v>-4.9113378526555973</c:v>
                </c:pt>
                <c:pt idx="742">
                  <c:v>-4.916558853446948</c:v>
                </c:pt>
                <c:pt idx="743">
                  <c:v>-4.9217798693656496</c:v>
                </c:pt>
                <c:pt idx="744">
                  <c:v>-4.9270009004111852</c:v>
                </c:pt>
                <c:pt idx="745">
                  <c:v>-4.9322219465830379</c:v>
                </c:pt>
                <c:pt idx="746">
                  <c:v>-4.9374430078806926</c:v>
                </c:pt>
                <c:pt idx="747">
                  <c:v>-4.9426640843036331</c:v>
                </c:pt>
                <c:pt idx="748">
                  <c:v>-4.9478851758513427</c:v>
                </c:pt>
                <c:pt idx="749">
                  <c:v>-4.9531062825233052</c:v>
                </c:pt>
                <c:pt idx="750">
                  <c:v>-4.9583274043190046</c:v>
                </c:pt>
                <c:pt idx="751">
                  <c:v>-4.963548541237925</c:v>
                </c:pt>
                <c:pt idx="752">
                  <c:v>-4.9687696932795502</c:v>
                </c:pt>
                <c:pt idx="753">
                  <c:v>-4.9739908604433642</c:v>
                </c:pt>
                <c:pt idx="754">
                  <c:v>-4.9792120427288511</c:v>
                </c:pt>
                <c:pt idx="755">
                  <c:v>-4.9844332401354947</c:v>
                </c:pt>
                <c:pt idx="756">
                  <c:v>-4.9896544526627782</c:v>
                </c:pt>
                <c:pt idx="757">
                  <c:v>-4.9948756803101864</c:v>
                </c:pt>
                <c:pt idx="758">
                  <c:v>-5.0000969230772032</c:v>
                </c:pt>
                <c:pt idx="759">
                  <c:v>-5.0053181809633127</c:v>
                </c:pt>
                <c:pt idx="760">
                  <c:v>-5.0105394539679988</c:v>
                </c:pt>
                <c:pt idx="761">
                  <c:v>-5.0157607420907455</c:v>
                </c:pt>
                <c:pt idx="762">
                  <c:v>-5.0209820453310368</c:v>
                </c:pt>
                <c:pt idx="763">
                  <c:v>-5.0262033636883565</c:v>
                </c:pt>
                <c:pt idx="764">
                  <c:v>-5.0314246971621888</c:v>
                </c:pt>
                <c:pt idx="765">
                  <c:v>-5.0366460457520175</c:v>
                </c:pt>
                <c:pt idx="766">
                  <c:v>-5.0418674094573275</c:v>
                </c:pt>
                <c:pt idx="767">
                  <c:v>-5.0470887882776028</c:v>
                </c:pt>
                <c:pt idx="768">
                  <c:v>-5.0523101822123273</c:v>
                </c:pt>
                <c:pt idx="769">
                  <c:v>-5.0575315912609851</c:v>
                </c:pt>
                <c:pt idx="770">
                  <c:v>-5.06275301542306</c:v>
                </c:pt>
                <c:pt idx="771">
                  <c:v>-5.0679744546980361</c:v>
                </c:pt>
                <c:pt idx="772">
                  <c:v>-5.0731959090853982</c:v>
                </c:pt>
                <c:pt idx="773">
                  <c:v>-5.0784173785846303</c:v>
                </c:pt>
                <c:pt idx="774">
                  <c:v>-5.0836388631952163</c:v>
                </c:pt>
                <c:pt idx="775">
                  <c:v>-5.0888603629166411</c:v>
                </c:pt>
                <c:pt idx="776">
                  <c:v>-5.0940818777483887</c:v>
                </c:pt>
                <c:pt idx="777">
                  <c:v>-5.0993034076899431</c:v>
                </c:pt>
                <c:pt idx="778">
                  <c:v>-5.104524952740789</c:v>
                </c:pt>
                <c:pt idx="779">
                  <c:v>-5.1097465129004105</c:v>
                </c:pt>
                <c:pt idx="780">
                  <c:v>-5.1149680881682915</c:v>
                </c:pt>
                <c:pt idx="781">
                  <c:v>-5.120189678543916</c:v>
                </c:pt>
                <c:pt idx="782">
                  <c:v>-5.1254112840267698</c:v>
                </c:pt>
                <c:pt idx="783">
                  <c:v>-5.1306329046163359</c:v>
                </c:pt>
                <c:pt idx="784">
                  <c:v>-5.1358545403120992</c:v>
                </c:pt>
                <c:pt idx="785">
                  <c:v>-5.1410761911135436</c:v>
                </c:pt>
                <c:pt idx="786">
                  <c:v>-5.1462978570201541</c:v>
                </c:pt>
                <c:pt idx="787">
                  <c:v>-5.1515195380314145</c:v>
                </c:pt>
                <c:pt idx="788">
                  <c:v>-5.1567412341468097</c:v>
                </c:pt>
                <c:pt idx="789">
                  <c:v>-5.1619629453658238</c:v>
                </c:pt>
                <c:pt idx="790">
                  <c:v>-5.1671846716879415</c:v>
                </c:pt>
                <c:pt idx="791">
                  <c:v>-5.1724064131126477</c:v>
                </c:pt>
                <c:pt idx="792">
                  <c:v>-5.1776281696394264</c:v>
                </c:pt>
                <c:pt idx="793">
                  <c:v>-5.1828499412677616</c:v>
                </c:pt>
                <c:pt idx="794">
                  <c:v>-5.188071727997138</c:v>
                </c:pt>
                <c:pt idx="795">
                  <c:v>-5.1932935298270406</c:v>
                </c:pt>
                <c:pt idx="796">
                  <c:v>-5.1985153467569534</c:v>
                </c:pt>
                <c:pt idx="797">
                  <c:v>-5.2037371787863611</c:v>
                </c:pt>
                <c:pt idx="798">
                  <c:v>-5.2089590259147487</c:v>
                </c:pt>
                <c:pt idx="799">
                  <c:v>-5.2141808881416001</c:v>
                </c:pt>
                <c:pt idx="800">
                  <c:v>-5.2194027654664001</c:v>
                </c:pt>
                <c:pt idx="801">
                  <c:v>-5.2246246578886337</c:v>
                </c:pt>
                <c:pt idx="802">
                  <c:v>-5.2298465654077848</c:v>
                </c:pt>
                <c:pt idx="803">
                  <c:v>-5.2350684880233382</c:v>
                </c:pt>
                <c:pt idx="804">
                  <c:v>-5.2402904257347789</c:v>
                </c:pt>
                <c:pt idx="805">
                  <c:v>-5.2455123785415916</c:v>
                </c:pt>
                <c:pt idx="806">
                  <c:v>-5.2507343464432603</c:v>
                </c:pt>
                <c:pt idx="807">
                  <c:v>-5.2559563294392708</c:v>
                </c:pt>
                <c:pt idx="808">
                  <c:v>-5.2611783275291071</c:v>
                </c:pt>
                <c:pt idx="809">
                  <c:v>-5.2664003407122539</c:v>
                </c:pt>
                <c:pt idx="810">
                  <c:v>-5.2716223689881954</c:v>
                </c:pt>
                <c:pt idx="811">
                  <c:v>-5.2768444123564171</c:v>
                </c:pt>
                <c:pt idx="812">
                  <c:v>-5.2820664708164031</c:v>
                </c:pt>
                <c:pt idx="813">
                  <c:v>-5.2872885443676392</c:v>
                </c:pt>
                <c:pt idx="814">
                  <c:v>-5.2925106330096092</c:v>
                </c:pt>
                <c:pt idx="815">
                  <c:v>-5.2977327367417981</c:v>
                </c:pt>
                <c:pt idx="816">
                  <c:v>-5.3029548555636907</c:v>
                </c:pt>
                <c:pt idx="817">
                  <c:v>-5.3081769894747719</c:v>
                </c:pt>
                <c:pt idx="818">
                  <c:v>-5.3133991384745274</c:v>
                </c:pt>
                <c:pt idx="819">
                  <c:v>-5.3186213025624411</c:v>
                </c:pt>
                <c:pt idx="820">
                  <c:v>-5.323843481737998</c:v>
                </c:pt>
                <c:pt idx="821">
                  <c:v>-5.3290656760006829</c:v>
                </c:pt>
                <c:pt idx="822">
                  <c:v>-5.3342878853499807</c:v>
                </c:pt>
                <c:pt idx="823">
                  <c:v>-5.3395101097853761</c:v>
                </c:pt>
                <c:pt idx="824">
                  <c:v>-5.3447323493063541</c:v>
                </c:pt>
                <c:pt idx="825">
                  <c:v>-5.3499546039124004</c:v>
                </c:pt>
                <c:pt idx="826">
                  <c:v>-5.355176873602999</c:v>
                </c:pt>
                <c:pt idx="827">
                  <c:v>-5.3603991583776356</c:v>
                </c:pt>
                <c:pt idx="828">
                  <c:v>-5.3656214582357942</c:v>
                </c:pt>
                <c:pt idx="829">
                  <c:v>-5.3708437731769605</c:v>
                </c:pt>
                <c:pt idx="830">
                  <c:v>-5.3760661032006194</c:v>
                </c:pt>
                <c:pt idx="831">
                  <c:v>-5.3812884483062566</c:v>
                </c:pt>
                <c:pt idx="832">
                  <c:v>-5.3865108084933562</c:v>
                </c:pt>
                <c:pt idx="833">
                  <c:v>-5.3917331837614038</c:v>
                </c:pt>
                <c:pt idx="834">
                  <c:v>-5.3969555741098834</c:v>
                </c:pt>
                <c:pt idx="835">
                  <c:v>-5.4021779795382807</c:v>
                </c:pt>
                <c:pt idx="836">
                  <c:v>-5.4074004000460816</c:v>
                </c:pt>
                <c:pt idx="837">
                  <c:v>-5.4126228356327699</c:v>
                </c:pt>
                <c:pt idx="838">
                  <c:v>-5.4178452862978315</c:v>
                </c:pt>
                <c:pt idx="839">
                  <c:v>-5.4230677520407511</c:v>
                </c:pt>
                <c:pt idx="840">
                  <c:v>-5.4282902328610145</c:v>
                </c:pt>
                <c:pt idx="841">
                  <c:v>-5.4335127287581066</c:v>
                </c:pt>
                <c:pt idx="842">
                  <c:v>-5.4387352397315123</c:v>
                </c:pt>
                <c:pt idx="843">
                  <c:v>-5.4439577657807172</c:v>
                </c:pt>
                <c:pt idx="844">
                  <c:v>-5.4491803069052063</c:v>
                </c:pt>
                <c:pt idx="845">
                  <c:v>-5.4544028631044643</c:v>
                </c:pt>
                <c:pt idx="846">
                  <c:v>-5.4596254343779771</c:v>
                </c:pt>
                <c:pt idx="847">
                  <c:v>-5.4648480207252295</c:v>
                </c:pt>
                <c:pt idx="848">
                  <c:v>-5.4700706221457072</c:v>
                </c:pt>
                <c:pt idx="849">
                  <c:v>-5.4752932386388951</c:v>
                </c:pt>
                <c:pt idx="850">
                  <c:v>-5.4805158702042789</c:v>
                </c:pt>
                <c:pt idx="851">
                  <c:v>-5.4857385168413435</c:v>
                </c:pt>
                <c:pt idx="852">
                  <c:v>-5.4909611785495738</c:v>
                </c:pt>
                <c:pt idx="853">
                  <c:v>-5.4961838553284563</c:v>
                </c:pt>
                <c:pt idx="854">
                  <c:v>-5.5014065471774751</c:v>
                </c:pt>
                <c:pt idx="855">
                  <c:v>-5.5066292540961168</c:v>
                </c:pt>
                <c:pt idx="856">
                  <c:v>-5.5118519760838662</c:v>
                </c:pt>
                <c:pt idx="857">
                  <c:v>-5.5170747131402083</c:v>
                </c:pt>
                <c:pt idx="858">
                  <c:v>-5.5222974652646286</c:v>
                </c:pt>
                <c:pt idx="859">
                  <c:v>-5.5275202324566131</c:v>
                </c:pt>
                <c:pt idx="860">
                  <c:v>-5.5327430147156464</c:v>
                </c:pt>
                <c:pt idx="861">
                  <c:v>-5.5379658120412145</c:v>
                </c:pt>
                <c:pt idx="862">
                  <c:v>-5.543188624432803</c:v>
                </c:pt>
                <c:pt idx="863">
                  <c:v>-5.5484114518898968</c:v>
                </c:pt>
                <c:pt idx="864">
                  <c:v>-5.5536342944119816</c:v>
                </c:pt>
                <c:pt idx="865">
                  <c:v>-5.5588571519985432</c:v>
                </c:pt>
                <c:pt idx="866">
                  <c:v>-5.5640800246490674</c:v>
                </c:pt>
                <c:pt idx="867">
                  <c:v>-5.5693029123630389</c:v>
                </c:pt>
                <c:pt idx="868">
                  <c:v>-5.5745258151399435</c:v>
                </c:pt>
                <c:pt idx="869">
                  <c:v>-5.579748732979267</c:v>
                </c:pt>
                <c:pt idx="870">
                  <c:v>-5.5849716658804942</c:v>
                </c:pt>
                <c:pt idx="871">
                  <c:v>-5.5901946138431118</c:v>
                </c:pt>
                <c:pt idx="872">
                  <c:v>-5.5954175768666046</c:v>
                </c:pt>
                <c:pt idx="873">
                  <c:v>-5.6006405549504583</c:v>
                </c:pt>
                <c:pt idx="874">
                  <c:v>-5.6058635480941588</c:v>
                </c:pt>
                <c:pt idx="875">
                  <c:v>-5.6110865562971917</c:v>
                </c:pt>
                <c:pt idx="876">
                  <c:v>-5.6163095795590428</c:v>
                </c:pt>
                <c:pt idx="877">
                  <c:v>-5.6215326178791978</c:v>
                </c:pt>
                <c:pt idx="878">
                  <c:v>-5.6267556712571416</c:v>
                </c:pt>
                <c:pt idx="879">
                  <c:v>-5.6319787396923608</c:v>
                </c:pt>
                <c:pt idx="880">
                  <c:v>-5.6372018231843404</c:v>
                </c:pt>
                <c:pt idx="881">
                  <c:v>-5.6424249217325668</c:v>
                </c:pt>
                <c:pt idx="882">
                  <c:v>-5.647648035336525</c:v>
                </c:pt>
                <c:pt idx="883">
                  <c:v>-5.6528711639957017</c:v>
                </c:pt>
                <c:pt idx="884">
                  <c:v>-5.6580943077095815</c:v>
                </c:pt>
                <c:pt idx="885">
                  <c:v>-5.6633174664776513</c:v>
                </c:pt>
                <c:pt idx="886">
                  <c:v>-5.6685406402993959</c:v>
                </c:pt>
                <c:pt idx="887">
                  <c:v>-5.6737638291743018</c:v>
                </c:pt>
                <c:pt idx="888">
                  <c:v>-5.6789870331018548</c:v>
                </c:pt>
                <c:pt idx="889">
                  <c:v>-5.6842102520815407</c:v>
                </c:pt>
                <c:pt idx="890">
                  <c:v>-5.6894334861128453</c:v>
                </c:pt>
                <c:pt idx="891">
                  <c:v>-5.6946567351952542</c:v>
                </c:pt>
                <c:pt idx="892">
                  <c:v>-5.6998799993282532</c:v>
                </c:pt>
                <c:pt idx="893">
                  <c:v>-5.705103278511328</c:v>
                </c:pt>
                <c:pt idx="894">
                  <c:v>-5.7103265727439654</c:v>
                </c:pt>
                <c:pt idx="895">
                  <c:v>-5.715549882025651</c:v>
                </c:pt>
                <c:pt idx="896">
                  <c:v>-5.7207732063558705</c:v>
                </c:pt>
                <c:pt idx="897">
                  <c:v>-5.7259965457341098</c:v>
                </c:pt>
                <c:pt idx="898">
                  <c:v>-5.7312199001598554</c:v>
                </c:pt>
                <c:pt idx="899">
                  <c:v>-5.7364432696325922</c:v>
                </c:pt>
                <c:pt idx="900">
                  <c:v>-5.7416666541518069</c:v>
                </c:pt>
                <c:pt idx="901">
                  <c:v>-5.746890053716986</c:v>
                </c:pt>
                <c:pt idx="902">
                  <c:v>-5.7521134683276145</c:v>
                </c:pt>
                <c:pt idx="903">
                  <c:v>-5.7573368979831789</c:v>
                </c:pt>
                <c:pt idx="904">
                  <c:v>-5.762560342683166</c:v>
                </c:pt>
                <c:pt idx="905">
                  <c:v>-5.7677838024270605</c:v>
                </c:pt>
                <c:pt idx="906">
                  <c:v>-5.773007277214349</c:v>
                </c:pt>
                <c:pt idx="907">
                  <c:v>-5.7782307670445183</c:v>
                </c:pt>
                <c:pt idx="908">
                  <c:v>-5.7834542719170541</c:v>
                </c:pt>
                <c:pt idx="909">
                  <c:v>-5.788677791831442</c:v>
                </c:pt>
                <c:pt idx="910">
                  <c:v>-5.793901326787168</c:v>
                </c:pt>
                <c:pt idx="911">
                  <c:v>-5.7991248767837194</c:v>
                </c:pt>
                <c:pt idx="912">
                  <c:v>-5.8043484418205811</c:v>
                </c:pt>
                <c:pt idx="913">
                  <c:v>-5.8095720218972398</c:v>
                </c:pt>
                <c:pt idx="914">
                  <c:v>-5.814795617013182</c:v>
                </c:pt>
                <c:pt idx="915">
                  <c:v>-5.8200192271678937</c:v>
                </c:pt>
                <c:pt idx="916">
                  <c:v>-5.8252428523608604</c:v>
                </c:pt>
                <c:pt idx="917">
                  <c:v>-5.8304664925915697</c:v>
                </c:pt>
                <c:pt idx="918">
                  <c:v>-5.8356901478595065</c:v>
                </c:pt>
                <c:pt idx="919">
                  <c:v>-5.8409138181641582</c:v>
                </c:pt>
                <c:pt idx="920">
                  <c:v>-5.8461375035050107</c:v>
                </c:pt>
                <c:pt idx="921">
                  <c:v>-5.8513612038815497</c:v>
                </c:pt>
                <c:pt idx="922">
                  <c:v>-5.8565849192932617</c:v>
                </c:pt>
                <c:pt idx="923">
                  <c:v>-5.8618086497396336</c:v>
                </c:pt>
                <c:pt idx="924">
                  <c:v>-5.8670323952201509</c:v>
                </c:pt>
                <c:pt idx="925">
                  <c:v>-5.8722561557343012</c:v>
                </c:pt>
                <c:pt idx="926">
                  <c:v>-5.8774799312815693</c:v>
                </c:pt>
                <c:pt idx="927">
                  <c:v>-5.8827037218614429</c:v>
                </c:pt>
                <c:pt idx="928">
                  <c:v>-5.8879275274734075</c:v>
                </c:pt>
                <c:pt idx="929">
                  <c:v>-5.89315134811695</c:v>
                </c:pt>
                <c:pt idx="930">
                  <c:v>-5.8983751837915568</c:v>
                </c:pt>
                <c:pt idx="931">
                  <c:v>-5.9035990344967137</c:v>
                </c:pt>
                <c:pt idx="932">
                  <c:v>-5.9088229002319084</c:v>
                </c:pt>
                <c:pt idx="933">
                  <c:v>-5.9140467809966264</c:v>
                </c:pt>
                <c:pt idx="934">
                  <c:v>-5.9192706767903545</c:v>
                </c:pt>
                <c:pt idx="935">
                  <c:v>-5.9244945876125783</c:v>
                </c:pt>
                <c:pt idx="936">
                  <c:v>-5.9297185134627854</c:v>
                </c:pt>
                <c:pt idx="937">
                  <c:v>-5.9349424543404616</c:v>
                </c:pt>
                <c:pt idx="938">
                  <c:v>-5.9401664102450944</c:v>
                </c:pt>
                <c:pt idx="939">
                  <c:v>-5.9453903811761695</c:v>
                </c:pt>
                <c:pt idx="940">
                  <c:v>-5.9506143671331735</c:v>
                </c:pt>
                <c:pt idx="941">
                  <c:v>-5.9558383681155931</c:v>
                </c:pt>
                <c:pt idx="942">
                  <c:v>-5.9610623841229149</c:v>
                </c:pt>
                <c:pt idx="943">
                  <c:v>-5.9662864151546255</c:v>
                </c:pt>
                <c:pt idx="944">
                  <c:v>-5.9715104612102117</c:v>
                </c:pt>
                <c:pt idx="945">
                  <c:v>-5.9767345222891599</c:v>
                </c:pt>
                <c:pt idx="946">
                  <c:v>-5.9819585983909569</c:v>
                </c:pt>
                <c:pt idx="947">
                  <c:v>-5.9871826895150893</c:v>
                </c:pt>
                <c:pt idx="948">
                  <c:v>-5.9924067956610436</c:v>
                </c:pt>
                <c:pt idx="949">
                  <c:v>-5.9976309168283066</c:v>
                </c:pt>
                <c:pt idx="950">
                  <c:v>-6.0028550530163649</c:v>
                </c:pt>
                <c:pt idx="951">
                  <c:v>-6.0080792042247051</c:v>
                </c:pt>
                <c:pt idx="952">
                  <c:v>-6.0133033704528138</c:v>
                </c:pt>
                <c:pt idx="953">
                  <c:v>-6.0185275517001786</c:v>
                </c:pt>
                <c:pt idx="954">
                  <c:v>-6.0237517479662852</c:v>
                </c:pt>
                <c:pt idx="955">
                  <c:v>-6.0289759592506211</c:v>
                </c:pt>
                <c:pt idx="956">
                  <c:v>-6.034200185552673</c:v>
                </c:pt>
                <c:pt idx="957">
                  <c:v>-6.0394244268719275</c:v>
                </c:pt>
                <c:pt idx="958">
                  <c:v>-6.0446486832078712</c:v>
                </c:pt>
                <c:pt idx="959">
                  <c:v>-6.0498729545599916</c:v>
                </c:pt>
                <c:pt idx="960">
                  <c:v>-6.0550972409277746</c:v>
                </c:pt>
                <c:pt idx="961">
                  <c:v>-6.0603215423107075</c:v>
                </c:pt>
                <c:pt idx="962">
                  <c:v>-6.0655458587082771</c:v>
                </c:pt>
                <c:pt idx="963">
                  <c:v>-6.0707701901199709</c:v>
                </c:pt>
                <c:pt idx="964">
                  <c:v>-6.0759945365452754</c:v>
                </c:pt>
                <c:pt idx="965">
                  <c:v>-6.0812188979836774</c:v>
                </c:pt>
                <c:pt idx="966">
                  <c:v>-6.0864432744346635</c:v>
                </c:pt>
                <c:pt idx="967">
                  <c:v>-6.0916676658977211</c:v>
                </c:pt>
                <c:pt idx="968">
                  <c:v>-6.096892072372337</c:v>
                </c:pt>
                <c:pt idx="969">
                  <c:v>-6.1021164938579977</c:v>
                </c:pt>
                <c:pt idx="970">
                  <c:v>-6.1073409303541908</c:v>
                </c:pt>
                <c:pt idx="971">
                  <c:v>-6.1125653818604029</c:v>
                </c:pt>
                <c:pt idx="972">
                  <c:v>-6.1177898483761215</c:v>
                </c:pt>
                <c:pt idx="973">
                  <c:v>-6.1230143299008333</c:v>
                </c:pt>
                <c:pt idx="974">
                  <c:v>-6.1282388264340257</c:v>
                </c:pt>
                <c:pt idx="975">
                  <c:v>-6.1334633379751855</c:v>
                </c:pt>
                <c:pt idx="976">
                  <c:v>-6.1386878645237992</c:v>
                </c:pt>
                <c:pt idx="977">
                  <c:v>-6.1439124060793544</c:v>
                </c:pt>
                <c:pt idx="978">
                  <c:v>-6.1491369626413386</c:v>
                </c:pt>
                <c:pt idx="979">
                  <c:v>-6.1543615342092384</c:v>
                </c:pt>
                <c:pt idx="980">
                  <c:v>-6.1595861207825404</c:v>
                </c:pt>
                <c:pt idx="981">
                  <c:v>-6.1648107223607331</c:v>
                </c:pt>
                <c:pt idx="982">
                  <c:v>-6.1700353389433022</c:v>
                </c:pt>
                <c:pt idx="983">
                  <c:v>-6.1752599705297362</c:v>
                </c:pt>
                <c:pt idx="984">
                  <c:v>-6.1804846171195216</c:v>
                </c:pt>
                <c:pt idx="985">
                  <c:v>-6.185709278712145</c:v>
                </c:pt>
                <c:pt idx="986">
                  <c:v>-6.1909339553070941</c:v>
                </c:pt>
                <c:pt idx="987">
                  <c:v>-6.1961586469038563</c:v>
                </c:pt>
                <c:pt idx="988">
                  <c:v>-6.2013833535019192</c:v>
                </c:pt>
                <c:pt idx="989">
                  <c:v>-6.2066080751007693</c:v>
                </c:pt>
                <c:pt idx="990">
                  <c:v>-6.2118328116998942</c:v>
                </c:pt>
                <c:pt idx="991">
                  <c:v>-6.2170575632987815</c:v>
                </c:pt>
                <c:pt idx="992">
                  <c:v>-6.2222823298969177</c:v>
                </c:pt>
                <c:pt idx="993">
                  <c:v>-6.2275071114937903</c:v>
                </c:pt>
                <c:pt idx="994">
                  <c:v>-6.232731908088887</c:v>
                </c:pt>
                <c:pt idx="995">
                  <c:v>-6.2379567196816952</c:v>
                </c:pt>
                <c:pt idx="996">
                  <c:v>-6.2431815462717015</c:v>
                </c:pt>
                <c:pt idx="997">
                  <c:v>-6.2484063878583935</c:v>
                </c:pt>
                <c:pt idx="998">
                  <c:v>-6.2536312444412596</c:v>
                </c:pt>
                <c:pt idx="999">
                  <c:v>-6.2588561160197864</c:v>
                </c:pt>
                <c:pt idx="1000">
                  <c:v>-6.2640810025934606</c:v>
                </c:pt>
              </c:numCache>
            </c:numRef>
          </c:yVal>
          <c:smooth val="1"/>
          <c:extLst>
            <c:ext xmlns:c16="http://schemas.microsoft.com/office/drawing/2014/chart" uri="{C3380CC4-5D6E-409C-BE32-E72D297353CC}">
              <c16:uniqueId val="{00000002-4C7F-469F-ADED-1B0B28F452E1}"/>
            </c:ext>
          </c:extLst>
        </c:ser>
        <c:ser>
          <c:idx val="2"/>
          <c:order val="3"/>
          <c:tx>
            <c:strRef>
              <c:f>Trajecto!$B$109</c:f>
              <c:strCache>
                <c:ptCount val="1"/>
                <c:pt idx="0">
                  <c:v>Fusée sous parachute</c:v>
                </c:pt>
              </c:strCache>
            </c:strRef>
          </c:tx>
          <c:spPr>
            <a:ln w="25400">
              <a:solidFill>
                <a:srgbClr val="008000"/>
              </a:solidFill>
              <a:prstDash val="solid"/>
            </a:ln>
          </c:spPr>
          <c:marker>
            <c:symbol val="none"/>
          </c:marker>
          <c:dLbls>
            <c:dLbl>
              <c:idx val="1"/>
              <c:spPr>
                <a:noFill/>
                <a:ln w="25400">
                  <a:noFill/>
                </a:ln>
              </c:spPr>
              <c:txPr>
                <a:bodyPr/>
                <a:lstStyle/>
                <a:p>
                  <a:pPr>
                    <a:defRPr sz="700" b="1" i="0" u="none" strike="noStrike" baseline="0">
                      <a:solidFill>
                        <a:srgbClr val="008000"/>
                      </a:solidFill>
                      <a:latin typeface="Arial"/>
                      <a:ea typeface="Arial"/>
                      <a:cs typeface="Arial"/>
                    </a:defRPr>
                  </a:pPr>
                  <a:endParaRPr lang="fr-FR"/>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4C7F-469F-ADED-1B0B28F452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Trajecto!$B$132:$B$138</c:f>
              <c:numCache>
                <c:formatCode>0.0</c:formatCode>
                <c:ptCount val="7"/>
                <c:pt idx="0">
                  <c:v>8</c:v>
                </c:pt>
                <c:pt idx="1">
                  <c:v>36.481172596589232</c:v>
                </c:pt>
                <c:pt idx="2">
                  <c:v>64.962345193178464</c:v>
                </c:pt>
                <c:pt idx="3">
                  <c:v>64.35561389732851</c:v>
                </c:pt>
                <c:pt idx="4">
                  <c:v>64.962345193178464</c:v>
                </c:pt>
                <c:pt idx="5">
                  <c:v>62.745613897328532</c:v>
                </c:pt>
                <c:pt idx="6">
                  <c:v>64.962345193178464</c:v>
                </c:pt>
              </c:numCache>
            </c:numRef>
          </c:xVal>
          <c:yVal>
            <c:numRef>
              <c:f>Trajecto!$C$132:$C$138</c:f>
              <c:numCache>
                <c:formatCode>0</c:formatCode>
                <c:ptCount val="7"/>
                <c:pt idx="0">
                  <c:v>292.02863415437969</c:v>
                </c:pt>
                <c:pt idx="1">
                  <c:v>146.01431707718984</c:v>
                </c:pt>
                <c:pt idx="2">
                  <c:v>0</c:v>
                </c:pt>
                <c:pt idx="3">
                  <c:v>10.555914941860928</c:v>
                </c:pt>
                <c:pt idx="4">
                  <c:v>0</c:v>
                </c:pt>
                <c:pt idx="5">
                  <c:v>4.1211221925028525</c:v>
                </c:pt>
                <c:pt idx="6">
                  <c:v>0</c:v>
                </c:pt>
              </c:numCache>
            </c:numRef>
          </c:yVal>
          <c:smooth val="0"/>
          <c:extLst>
            <c:ext xmlns:c16="http://schemas.microsoft.com/office/drawing/2014/chart" uri="{C3380CC4-5D6E-409C-BE32-E72D297353CC}">
              <c16:uniqueId val="{00000004-4C7F-469F-ADED-1B0B28F452E1}"/>
            </c:ext>
          </c:extLst>
        </c:ser>
        <c:ser>
          <c:idx val="3"/>
          <c:order val="4"/>
          <c:tx>
            <c:strRef>
              <c:f>Trajecto!$B$110</c:f>
              <c:strCache>
                <c:ptCount val="1"/>
              </c:strCache>
            </c:strRef>
          </c:tx>
          <c:spPr>
            <a:ln w="25400">
              <a:solidFill>
                <a:srgbClr val="FF6600"/>
              </a:solidFill>
              <a:prstDash val="solid"/>
            </a:ln>
          </c:spPr>
          <c:marker>
            <c:symbol val="none"/>
          </c:marker>
          <c:dLbls>
            <c:dLbl>
              <c:idx val="1"/>
              <c:spPr>
                <a:noFill/>
                <a:ln w="25400">
                  <a:noFill/>
                </a:ln>
              </c:spPr>
              <c:txPr>
                <a:bodyPr/>
                <a:lstStyle/>
                <a:p>
                  <a:pPr>
                    <a:defRPr sz="700" b="1" i="0" u="none" strike="noStrike" baseline="0">
                      <a:solidFill>
                        <a:srgbClr val="FF6600"/>
                      </a:solidFill>
                      <a:latin typeface="Arial"/>
                      <a:ea typeface="Arial"/>
                      <a:cs typeface="Arial"/>
                    </a:defRPr>
                  </a:pPr>
                  <a:endParaRPr lang="fr-FR"/>
                </a:p>
              </c:txPr>
              <c:dLblPos val="l"/>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4C7F-469F-ADED-1B0B28F452E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Trajecto!$B$149:$B$155</c:f>
              <c:numCache>
                <c:formatCode>0.0</c:formatCode>
                <c:ptCount val="7"/>
                <c:pt idx="0">
                  <c:v>0</c:v>
                </c:pt>
                <c:pt idx="1">
                  <c:v>0</c:v>
                </c:pt>
                <c:pt idx="2">
                  <c:v>0</c:v>
                </c:pt>
                <c:pt idx="3">
                  <c:v>0</c:v>
                </c:pt>
                <c:pt idx="4">
                  <c:v>0</c:v>
                </c:pt>
                <c:pt idx="5">
                  <c:v>0</c:v>
                </c:pt>
                <c:pt idx="6">
                  <c:v>0</c:v>
                </c:pt>
              </c:numCache>
            </c:numRef>
          </c:xVal>
          <c:yVal>
            <c:numRef>
              <c:f>Trajecto!$C$149:$C$155</c:f>
              <c:numCache>
                <c:formatCode>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6-4C7F-469F-ADED-1B0B28F452E1}"/>
            </c:ext>
          </c:extLst>
        </c:ser>
        <c:ser>
          <c:idx val="5"/>
          <c:order val="5"/>
          <c:tx>
            <c:strRef>
              <c:f>Trajecto!$B$107</c:f>
              <c:strCache>
                <c:ptCount val="1"/>
                <c:pt idx="0">
                  <c:v>Phase ascendante</c:v>
                </c:pt>
              </c:strCache>
            </c:strRef>
          </c:tx>
          <c:spPr>
            <a:ln w="25400">
              <a:solidFill>
                <a:srgbClr val="00008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Calculs!$AE$4:$AE$1004</c:f>
              <c:numCache>
                <c:formatCode>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numCache>
            </c:numRef>
          </c:yVal>
          <c:smooth val="0"/>
          <c:extLst>
            <c:ext xmlns:c16="http://schemas.microsoft.com/office/drawing/2014/chart" uri="{C3380CC4-5D6E-409C-BE32-E72D297353CC}">
              <c16:uniqueId val="{00000007-4C7F-469F-ADED-1B0B28F452E1}"/>
            </c:ext>
          </c:extLst>
        </c:ser>
        <c:ser>
          <c:idx val="6"/>
          <c:order val="6"/>
          <c:tx>
            <c:strRef>
              <c:f>Trajecto!$B$107</c:f>
              <c:strCache>
                <c:ptCount val="1"/>
                <c:pt idx="0">
                  <c:v>Phase ascendante</c:v>
                </c:pt>
              </c:strCache>
            </c:strRef>
          </c:tx>
          <c:spPr>
            <a:ln w="28575">
              <a:noFill/>
            </a:ln>
          </c:spPr>
          <c:marker>
            <c:symbol val="none"/>
          </c:marker>
          <c:dLbls>
            <c:spPr>
              <a:noFill/>
              <a:ln w="25400">
                <a:noFill/>
              </a:ln>
            </c:spPr>
            <c:txPr>
              <a:bodyPr/>
              <a:lstStyle/>
              <a:p>
                <a:pPr>
                  <a:defRPr sz="700" b="1" i="0" u="none" strike="noStrike" baseline="0">
                    <a:solidFill>
                      <a:srgbClr val="000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Trajecto!$B$158</c:f>
              <c:numCache>
                <c:formatCode>General</c:formatCode>
                <c:ptCount val="1"/>
                <c:pt idx="0">
                  <c:v>2</c:v>
                </c:pt>
              </c:numCache>
            </c:numRef>
          </c:xVal>
          <c:yVal>
            <c:numRef>
              <c:f>Trajecto!$C$158</c:f>
              <c:numCache>
                <c:formatCode>0</c:formatCode>
                <c:ptCount val="1"/>
                <c:pt idx="0">
                  <c:v>146.01431707718984</c:v>
                </c:pt>
              </c:numCache>
            </c:numRef>
          </c:yVal>
          <c:smooth val="0"/>
          <c:extLst>
            <c:ext xmlns:c16="http://schemas.microsoft.com/office/drawing/2014/chart" uri="{C3380CC4-5D6E-409C-BE32-E72D297353CC}">
              <c16:uniqueId val="{00000008-4C7F-469F-ADED-1B0B28F452E1}"/>
            </c:ext>
          </c:extLst>
        </c:ser>
        <c:ser>
          <c:idx val="7"/>
          <c:order val="7"/>
          <c:tx>
            <c:strRef>
              <c:f>Trajecto!$B$108</c:f>
              <c:strCache>
                <c:ptCount val="1"/>
                <c:pt idx="0">
                  <c:v>Descente balistique</c:v>
                </c:pt>
              </c:strCache>
            </c:strRef>
          </c:tx>
          <c:spPr>
            <a:ln w="28575">
              <a:noFill/>
            </a:ln>
          </c:spPr>
          <c:marker>
            <c:symbol val="none"/>
          </c:marker>
          <c:dLbls>
            <c:spPr>
              <a:noFill/>
              <a:ln w="25400">
                <a:noFill/>
              </a:ln>
            </c:spPr>
            <c:txPr>
              <a:bodyPr/>
              <a:lstStyle/>
              <a:p>
                <a:pPr>
                  <a:defRPr sz="700" b="1" i="0" u="none" strike="noStrike" baseline="0">
                    <a:solidFill>
                      <a:srgbClr val="808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Trajecto!$B$159</c:f>
              <c:numCache>
                <c:formatCode>General</c:formatCode>
                <c:ptCount val="1"/>
                <c:pt idx="0">
                  <c:v>11.549999999999976</c:v>
                </c:pt>
              </c:numCache>
            </c:numRef>
          </c:xVal>
          <c:yVal>
            <c:numRef>
              <c:f>Trajecto!$C$159</c:f>
              <c:numCache>
                <c:formatCode>0</c:formatCode>
                <c:ptCount val="1"/>
                <c:pt idx="0">
                  <c:v>148.05198023845244</c:v>
                </c:pt>
              </c:numCache>
            </c:numRef>
          </c:yVal>
          <c:smooth val="0"/>
          <c:extLst>
            <c:ext xmlns:c16="http://schemas.microsoft.com/office/drawing/2014/chart" uri="{C3380CC4-5D6E-409C-BE32-E72D297353CC}">
              <c16:uniqueId val="{00000009-4C7F-469F-ADED-1B0B28F452E1}"/>
            </c:ext>
          </c:extLst>
        </c:ser>
        <c:dLbls>
          <c:showLegendKey val="0"/>
          <c:showVal val="0"/>
          <c:showCatName val="0"/>
          <c:showSerName val="0"/>
          <c:showPercent val="0"/>
          <c:showBubbleSize val="0"/>
        </c:dLbls>
        <c:axId val="149275008"/>
        <c:axId val="149276928"/>
      </c:scatterChart>
      <c:valAx>
        <c:axId val="149275008"/>
        <c:scaling>
          <c:orientation val="minMax"/>
          <c:min val="0"/>
        </c:scaling>
        <c:delete val="0"/>
        <c:axPos val="b"/>
        <c:majorGridlines>
          <c:spPr>
            <a:ln w="3175">
              <a:solidFill>
                <a:srgbClr val="000000"/>
              </a:solidFill>
              <a:prstDash val="sysDash"/>
            </a:ln>
          </c:spPr>
        </c:majorGridlines>
        <c:title>
          <c:tx>
            <c:strRef>
              <c:f>Trajecto!$B$113</c:f>
              <c:strCache>
                <c:ptCount val="1"/>
                <c:pt idx="0">
                  <c:v>Temps [s]</c:v>
                </c:pt>
              </c:strCache>
            </c:strRef>
          </c:tx>
          <c:layout>
            <c:manualLayout>
              <c:xMode val="edge"/>
              <c:yMode val="edge"/>
              <c:x val="0.60555551848391842"/>
              <c:y val="0.8513930569999506"/>
            </c:manualLayout>
          </c:layout>
          <c:overlay val="0"/>
          <c:spPr>
            <a:solidFill>
              <a:srgbClr val="FFFFFF"/>
            </a:solidFill>
            <a:ln w="25400">
              <a:noFill/>
            </a:ln>
          </c:spPr>
          <c:txPr>
            <a:bodyPr/>
            <a:lstStyle/>
            <a:p>
              <a:pPr>
                <a:defRPr sz="800" b="1" i="0" u="none" strike="noStrike" baseline="0">
                  <a:solidFill>
                    <a:srgbClr val="0000FF"/>
                  </a:solidFill>
                  <a:latin typeface="Arial"/>
                  <a:ea typeface="Arial"/>
                  <a:cs typeface="Arial"/>
                </a:defRPr>
              </a:pPr>
              <a:endParaRPr lang="fr-FR"/>
            </a:p>
          </c:tx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9276928"/>
        <c:crosses val="autoZero"/>
        <c:crossBetween val="midCat"/>
      </c:valAx>
      <c:valAx>
        <c:axId val="149276928"/>
        <c:scaling>
          <c:orientation val="minMax"/>
          <c:min val="0"/>
        </c:scaling>
        <c:delete val="0"/>
        <c:axPos val="l"/>
        <c:majorGridlines>
          <c:spPr>
            <a:ln w="3175">
              <a:solidFill>
                <a:srgbClr val="000000"/>
              </a:solidFill>
              <a:prstDash val="sysDash"/>
            </a:ln>
          </c:spPr>
        </c:majorGridlines>
        <c:title>
          <c:tx>
            <c:rich>
              <a:bodyPr/>
              <a:lstStyle/>
              <a:p>
                <a:pPr>
                  <a:defRPr sz="800" b="1" i="0" u="none" strike="noStrike" baseline="0">
                    <a:solidFill>
                      <a:srgbClr val="0000FF"/>
                    </a:solidFill>
                    <a:latin typeface="Arial"/>
                    <a:ea typeface="Arial"/>
                    <a:cs typeface="Arial"/>
                  </a:defRPr>
                </a:pPr>
                <a:r>
                  <a:rPr lang="fr-FR"/>
                  <a:t>Altitude z [m]</a:t>
                </a:r>
              </a:p>
            </c:rich>
          </c:tx>
          <c:layout>
            <c:manualLayout>
              <c:xMode val="edge"/>
              <c:yMode val="edge"/>
              <c:x val="9.0000333644735087E-2"/>
              <c:y val="6.8111391736410315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49275008"/>
        <c:crosses val="autoZero"/>
        <c:crossBetween val="midCat"/>
      </c:valAx>
      <c:spPr>
        <a:gradFill rotWithShape="0">
          <a:gsLst>
            <a:gs pos="0">
              <a:srgbClr val="99CCFF"/>
            </a:gs>
            <a:gs pos="100000">
              <a:srgbClr val="FFFFFF"/>
            </a:gs>
          </a:gsLst>
          <a:lin ang="5400000" scaled="1"/>
        </a:gradFill>
        <a:ln w="12700">
          <a:solidFill>
            <a:srgbClr val="808080"/>
          </a:solidFill>
          <a:prstDash val="solid"/>
        </a:ln>
      </c:spPr>
    </c:plotArea>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Forces</a:t>
            </a:r>
          </a:p>
        </c:rich>
      </c:tx>
      <c:overlay val="1"/>
    </c:title>
    <c:autoTitleDeleted val="0"/>
    <c:plotArea>
      <c:layout>
        <c:manualLayout>
          <c:layoutTarget val="inner"/>
          <c:xMode val="edge"/>
          <c:yMode val="edge"/>
          <c:x val="0.11674528301886802"/>
          <c:y val="9.4771544282144501E-2"/>
          <c:w val="0.86438679245283023"/>
          <c:h val="0.74183243282920064"/>
        </c:manualLayout>
      </c:layout>
      <c:scatterChart>
        <c:scatterStyle val="lineMarker"/>
        <c:varyColors val="0"/>
        <c:ser>
          <c:idx val="1"/>
          <c:order val="0"/>
          <c:tx>
            <c:strRef>
              <c:f>Courbes!$B$134</c:f>
              <c:strCache>
                <c:ptCount val="1"/>
                <c:pt idx="0">
                  <c:v>Poussée</c:v>
                </c:pt>
              </c:strCache>
            </c:strRef>
          </c:tx>
          <c:spPr>
            <a:ln w="25400">
              <a:solidFill>
                <a:srgbClr val="008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Calculs!$Q$4:$Q$1004</c:f>
              <c:numCache>
                <c:formatCode>0.00</c:formatCode>
                <c:ptCount val="1001"/>
                <c:pt idx="0">
                  <c:v>0</c:v>
                </c:pt>
                <c:pt idx="1">
                  <c:v>8</c:v>
                </c:pt>
                <c:pt idx="2">
                  <c:v>39</c:v>
                </c:pt>
                <c:pt idx="3">
                  <c:v>64.5</c:v>
                </c:pt>
                <c:pt idx="4">
                  <c:v>69</c:v>
                </c:pt>
                <c:pt idx="5">
                  <c:v>68.833333333333329</c:v>
                </c:pt>
                <c:pt idx="6">
                  <c:v>64.5</c:v>
                </c:pt>
                <c:pt idx="7">
                  <c:v>60.166666666666671</c:v>
                </c:pt>
                <c:pt idx="8">
                  <c:v>58.833333333333329</c:v>
                </c:pt>
                <c:pt idx="9">
                  <c:v>60.5</c:v>
                </c:pt>
                <c:pt idx="10">
                  <c:v>62.166666666666664</c:v>
                </c:pt>
                <c:pt idx="11">
                  <c:v>63.199999999999996</c:v>
                </c:pt>
                <c:pt idx="12">
                  <c:v>63.6</c:v>
                </c:pt>
                <c:pt idx="13">
                  <c:v>64</c:v>
                </c:pt>
                <c:pt idx="14">
                  <c:v>64.400000000000006</c:v>
                </c:pt>
                <c:pt idx="15">
                  <c:v>64.8</c:v>
                </c:pt>
                <c:pt idx="16">
                  <c:v>65.2</c:v>
                </c:pt>
                <c:pt idx="17">
                  <c:v>65.599999999999994</c:v>
                </c:pt>
                <c:pt idx="18">
                  <c:v>66</c:v>
                </c:pt>
                <c:pt idx="19">
                  <c:v>66.400000000000006</c:v>
                </c:pt>
                <c:pt idx="20">
                  <c:v>66.8</c:v>
                </c:pt>
                <c:pt idx="21">
                  <c:v>67.099999999999994</c:v>
                </c:pt>
                <c:pt idx="22">
                  <c:v>67.3</c:v>
                </c:pt>
                <c:pt idx="23">
                  <c:v>67.5</c:v>
                </c:pt>
                <c:pt idx="24">
                  <c:v>67.7</c:v>
                </c:pt>
                <c:pt idx="25">
                  <c:v>67.900000000000006</c:v>
                </c:pt>
                <c:pt idx="26">
                  <c:v>68.099999999999994</c:v>
                </c:pt>
                <c:pt idx="27">
                  <c:v>68.3</c:v>
                </c:pt>
                <c:pt idx="28">
                  <c:v>68.5</c:v>
                </c:pt>
                <c:pt idx="29">
                  <c:v>68.7</c:v>
                </c:pt>
                <c:pt idx="30">
                  <c:v>68.900000000000006</c:v>
                </c:pt>
                <c:pt idx="31">
                  <c:v>68.899999999999991</c:v>
                </c:pt>
                <c:pt idx="32">
                  <c:v>68.7</c:v>
                </c:pt>
                <c:pt idx="33">
                  <c:v>68.5</c:v>
                </c:pt>
                <c:pt idx="34">
                  <c:v>68.3</c:v>
                </c:pt>
                <c:pt idx="35">
                  <c:v>68.099999999999994</c:v>
                </c:pt>
                <c:pt idx="36">
                  <c:v>67.899999999999991</c:v>
                </c:pt>
                <c:pt idx="37">
                  <c:v>67.7</c:v>
                </c:pt>
                <c:pt idx="38">
                  <c:v>67.5</c:v>
                </c:pt>
                <c:pt idx="39">
                  <c:v>67.3</c:v>
                </c:pt>
                <c:pt idx="40">
                  <c:v>67.099999999999994</c:v>
                </c:pt>
                <c:pt idx="41">
                  <c:v>66.899999999999991</c:v>
                </c:pt>
                <c:pt idx="42">
                  <c:v>66.7</c:v>
                </c:pt>
                <c:pt idx="43">
                  <c:v>66.5</c:v>
                </c:pt>
                <c:pt idx="44">
                  <c:v>66.3</c:v>
                </c:pt>
                <c:pt idx="45">
                  <c:v>66.099999999999994</c:v>
                </c:pt>
                <c:pt idx="46">
                  <c:v>65.899999999999991</c:v>
                </c:pt>
                <c:pt idx="47">
                  <c:v>65.699999999999989</c:v>
                </c:pt>
                <c:pt idx="48">
                  <c:v>65.5</c:v>
                </c:pt>
                <c:pt idx="49">
                  <c:v>65.3</c:v>
                </c:pt>
                <c:pt idx="50">
                  <c:v>65.099999999999994</c:v>
                </c:pt>
                <c:pt idx="51">
                  <c:v>64.899999999999991</c:v>
                </c:pt>
                <c:pt idx="52">
                  <c:v>64.699999999999989</c:v>
                </c:pt>
                <c:pt idx="53">
                  <c:v>64.5</c:v>
                </c:pt>
                <c:pt idx="54">
                  <c:v>64.3</c:v>
                </c:pt>
                <c:pt idx="55">
                  <c:v>64.099999999999994</c:v>
                </c:pt>
                <c:pt idx="56">
                  <c:v>63.899999999999991</c:v>
                </c:pt>
                <c:pt idx="57">
                  <c:v>63.699999999999996</c:v>
                </c:pt>
                <c:pt idx="58">
                  <c:v>63.499999999999993</c:v>
                </c:pt>
                <c:pt idx="59">
                  <c:v>63.3</c:v>
                </c:pt>
                <c:pt idx="60">
                  <c:v>63.099999999999994</c:v>
                </c:pt>
                <c:pt idx="61">
                  <c:v>62.899999999999991</c:v>
                </c:pt>
                <c:pt idx="62">
                  <c:v>62.699999999999996</c:v>
                </c:pt>
                <c:pt idx="63">
                  <c:v>62.499999999999993</c:v>
                </c:pt>
                <c:pt idx="64">
                  <c:v>62.29999999999999</c:v>
                </c:pt>
                <c:pt idx="65">
                  <c:v>62.099999999999994</c:v>
                </c:pt>
                <c:pt idx="66">
                  <c:v>61.899999999999991</c:v>
                </c:pt>
                <c:pt idx="67">
                  <c:v>61.699999999999989</c:v>
                </c:pt>
                <c:pt idx="68">
                  <c:v>61.499999999999993</c:v>
                </c:pt>
                <c:pt idx="69">
                  <c:v>61.29999999999999</c:v>
                </c:pt>
                <c:pt idx="70">
                  <c:v>61.099999999999994</c:v>
                </c:pt>
                <c:pt idx="71">
                  <c:v>60.970588235294116</c:v>
                </c:pt>
                <c:pt idx="72">
                  <c:v>60.911764705882348</c:v>
                </c:pt>
                <c:pt idx="73">
                  <c:v>60.852941176470587</c:v>
                </c:pt>
                <c:pt idx="74">
                  <c:v>60.794117647058819</c:v>
                </c:pt>
                <c:pt idx="75">
                  <c:v>60.735294117647058</c:v>
                </c:pt>
                <c:pt idx="76">
                  <c:v>60.67647058823529</c:v>
                </c:pt>
                <c:pt idx="77">
                  <c:v>60.617647058823529</c:v>
                </c:pt>
                <c:pt idx="78">
                  <c:v>60.558823529411761</c:v>
                </c:pt>
                <c:pt idx="79">
                  <c:v>60.5</c:v>
                </c:pt>
                <c:pt idx="80">
                  <c:v>60.441176470588232</c:v>
                </c:pt>
                <c:pt idx="81">
                  <c:v>60.382352941176471</c:v>
                </c:pt>
                <c:pt idx="82">
                  <c:v>60.323529411764703</c:v>
                </c:pt>
                <c:pt idx="83">
                  <c:v>60.264705882352935</c:v>
                </c:pt>
                <c:pt idx="84">
                  <c:v>60.205882352941174</c:v>
                </c:pt>
                <c:pt idx="85">
                  <c:v>60.147058823529406</c:v>
                </c:pt>
                <c:pt idx="86">
                  <c:v>60.088235294117645</c:v>
                </c:pt>
                <c:pt idx="87">
                  <c:v>60.029411764705877</c:v>
                </c:pt>
                <c:pt idx="88">
                  <c:v>53.833333333332646</c:v>
                </c:pt>
                <c:pt idx="89">
                  <c:v>41.499999999999318</c:v>
                </c:pt>
                <c:pt idx="90">
                  <c:v>29.166666666665979</c:v>
                </c:pt>
                <c:pt idx="91">
                  <c:v>21.357142857142673</c:v>
                </c:pt>
                <c:pt idx="92">
                  <c:v>18.071428571428381</c:v>
                </c:pt>
                <c:pt idx="93">
                  <c:v>14.785714285714091</c:v>
                </c:pt>
                <c:pt idx="94">
                  <c:v>11.499999999999799</c:v>
                </c:pt>
                <c:pt idx="95">
                  <c:v>8.2142857142855092</c:v>
                </c:pt>
                <c:pt idx="96">
                  <c:v>4.9285714285712174</c:v>
                </c:pt>
                <c:pt idx="97">
                  <c:v>1.6428571428569292</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numCache>
            </c:numRef>
          </c:yVal>
          <c:smooth val="0"/>
          <c:extLst>
            <c:ext xmlns:c16="http://schemas.microsoft.com/office/drawing/2014/chart" uri="{C3380CC4-5D6E-409C-BE32-E72D297353CC}">
              <c16:uniqueId val="{00000000-B98B-46BB-BB51-DAAA2071230C}"/>
            </c:ext>
          </c:extLst>
        </c:ser>
        <c:ser>
          <c:idx val="2"/>
          <c:order val="1"/>
          <c:tx>
            <c:strRef>
              <c:f>Courbes!$B$135</c:f>
              <c:strCache>
                <c:ptCount val="1"/>
                <c:pt idx="0">
                  <c:v>Poids</c:v>
                </c:pt>
              </c:strCache>
            </c:strRef>
          </c:tx>
          <c:spPr>
            <a:ln w="25400">
              <a:solidFill>
                <a:srgbClr val="0000FF"/>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Calculs!$T$4:$T$1004</c:f>
              <c:numCache>
                <c:formatCode>0.00</c:formatCode>
                <c:ptCount val="1001"/>
                <c:pt idx="0">
                  <c:v>4.4929800000000002</c:v>
                </c:pt>
                <c:pt idx="1">
                  <c:v>4.4925545969575102</c:v>
                </c:pt>
                <c:pt idx="2">
                  <c:v>4.4904807571253711</c:v>
                </c:pt>
                <c:pt idx="3">
                  <c:v>4.4870509450952962</c:v>
                </c:pt>
                <c:pt idx="4">
                  <c:v>4.4833818438538202</c:v>
                </c:pt>
                <c:pt idx="5">
                  <c:v>4.4797216051757296</c:v>
                </c:pt>
                <c:pt idx="6">
                  <c:v>4.4762917931456547</c:v>
                </c:pt>
                <c:pt idx="7">
                  <c:v>4.4730924077635947</c:v>
                </c:pt>
                <c:pt idx="8">
                  <c:v>4.469963922888617</c:v>
                </c:pt>
                <c:pt idx="9">
                  <c:v>4.4667468123797862</c:v>
                </c:pt>
                <c:pt idx="10">
                  <c:v>4.4634410762371042</c:v>
                </c:pt>
                <c:pt idx="11">
                  <c:v>4.4600803922014336</c:v>
                </c:pt>
                <c:pt idx="12">
                  <c:v>4.456698438013639</c:v>
                </c:pt>
                <c:pt idx="13">
                  <c:v>4.4532952136737194</c:v>
                </c:pt>
                <c:pt idx="14">
                  <c:v>4.4498707191816758</c:v>
                </c:pt>
                <c:pt idx="15">
                  <c:v>4.4464249545375072</c:v>
                </c:pt>
                <c:pt idx="16">
                  <c:v>4.4429579197412137</c:v>
                </c:pt>
                <c:pt idx="17">
                  <c:v>4.4394696147927961</c:v>
                </c:pt>
                <c:pt idx="18">
                  <c:v>4.4359600396922545</c:v>
                </c:pt>
                <c:pt idx="19">
                  <c:v>4.4324291944395879</c:v>
                </c:pt>
                <c:pt idx="20">
                  <c:v>4.4288770790347964</c:v>
                </c:pt>
                <c:pt idx="21">
                  <c:v>4.4253090110159121</c:v>
                </c:pt>
                <c:pt idx="22">
                  <c:v>4.4217303079209653</c:v>
                </c:pt>
                <c:pt idx="23">
                  <c:v>4.418140969749957</c:v>
                </c:pt>
                <c:pt idx="24">
                  <c:v>4.4145409965028861</c:v>
                </c:pt>
                <c:pt idx="25">
                  <c:v>4.4109303881797519</c:v>
                </c:pt>
                <c:pt idx="26">
                  <c:v>4.4073091447805561</c:v>
                </c:pt>
                <c:pt idx="27">
                  <c:v>4.4036772663052988</c:v>
                </c:pt>
                <c:pt idx="28">
                  <c:v>4.4000347527539789</c:v>
                </c:pt>
                <c:pt idx="29">
                  <c:v>4.3963816041265966</c:v>
                </c:pt>
                <c:pt idx="30">
                  <c:v>4.3927178204231518</c:v>
                </c:pt>
                <c:pt idx="31">
                  <c:v>4.3890540367197071</c:v>
                </c:pt>
                <c:pt idx="32">
                  <c:v>4.3854008880923248</c:v>
                </c:pt>
                <c:pt idx="33">
                  <c:v>4.3817583745410049</c:v>
                </c:pt>
                <c:pt idx="34">
                  <c:v>4.3781264960657467</c:v>
                </c:pt>
                <c:pt idx="35">
                  <c:v>4.3745052526665509</c:v>
                </c:pt>
                <c:pt idx="36">
                  <c:v>4.3708946443434176</c:v>
                </c:pt>
                <c:pt idx="37">
                  <c:v>4.3672946710963467</c:v>
                </c:pt>
                <c:pt idx="38">
                  <c:v>4.3637053329253384</c:v>
                </c:pt>
                <c:pt idx="39">
                  <c:v>4.3601266298303916</c:v>
                </c:pt>
                <c:pt idx="40">
                  <c:v>4.3565585618115072</c:v>
                </c:pt>
                <c:pt idx="41">
                  <c:v>4.3530011288686845</c:v>
                </c:pt>
                <c:pt idx="42">
                  <c:v>4.3494543310019242</c:v>
                </c:pt>
                <c:pt idx="43">
                  <c:v>4.3459181682112265</c:v>
                </c:pt>
                <c:pt idx="44">
                  <c:v>4.342392640496592</c:v>
                </c:pt>
                <c:pt idx="45">
                  <c:v>4.3388777478580183</c:v>
                </c:pt>
                <c:pt idx="46">
                  <c:v>4.335373490295507</c:v>
                </c:pt>
                <c:pt idx="47">
                  <c:v>4.3318798678090582</c:v>
                </c:pt>
                <c:pt idx="48">
                  <c:v>4.3283968803986719</c:v>
                </c:pt>
                <c:pt idx="49">
                  <c:v>4.324924528064348</c:v>
                </c:pt>
                <c:pt idx="50">
                  <c:v>4.3214628108060857</c:v>
                </c:pt>
                <c:pt idx="51">
                  <c:v>4.3180117286238859</c:v>
                </c:pt>
                <c:pt idx="52">
                  <c:v>4.3145712815177486</c:v>
                </c:pt>
                <c:pt idx="53">
                  <c:v>4.3111414694876737</c:v>
                </c:pt>
                <c:pt idx="54">
                  <c:v>4.3077222925336605</c:v>
                </c:pt>
                <c:pt idx="55">
                  <c:v>4.3043137506557096</c:v>
                </c:pt>
                <c:pt idx="56">
                  <c:v>4.3009158438538213</c:v>
                </c:pt>
                <c:pt idx="57">
                  <c:v>4.2975285721279954</c:v>
                </c:pt>
                <c:pt idx="58">
                  <c:v>4.2941519354782312</c:v>
                </c:pt>
                <c:pt idx="59">
                  <c:v>4.2907859339045293</c:v>
                </c:pt>
                <c:pt idx="60">
                  <c:v>4.28743056740689</c:v>
                </c:pt>
                <c:pt idx="61">
                  <c:v>4.2840858359853131</c:v>
                </c:pt>
                <c:pt idx="62">
                  <c:v>4.2807517396397978</c:v>
                </c:pt>
                <c:pt idx="63">
                  <c:v>4.277428278370345</c:v>
                </c:pt>
                <c:pt idx="64">
                  <c:v>4.2741154521769547</c:v>
                </c:pt>
                <c:pt idx="65">
                  <c:v>4.2708132610596268</c:v>
                </c:pt>
                <c:pt idx="66">
                  <c:v>4.2675217050183614</c:v>
                </c:pt>
                <c:pt idx="67">
                  <c:v>4.2642407840531567</c:v>
                </c:pt>
                <c:pt idx="68">
                  <c:v>4.2609704981640153</c:v>
                </c:pt>
                <c:pt idx="69">
                  <c:v>4.2577108473509364</c:v>
                </c:pt>
                <c:pt idx="70">
                  <c:v>4.25446183161392</c:v>
                </c:pt>
                <c:pt idx="71">
                  <c:v>4.2512196973967074</c:v>
                </c:pt>
                <c:pt idx="72">
                  <c:v>4.2479806911430433</c:v>
                </c:pt>
                <c:pt idx="73">
                  <c:v>4.244744812852927</c:v>
                </c:pt>
                <c:pt idx="74">
                  <c:v>4.2415120625263585</c:v>
                </c:pt>
                <c:pt idx="75">
                  <c:v>4.2382824401633368</c:v>
                </c:pt>
                <c:pt idx="76">
                  <c:v>4.2350559457638637</c:v>
                </c:pt>
                <c:pt idx="77">
                  <c:v>4.2318325793279374</c:v>
                </c:pt>
                <c:pt idx="78">
                  <c:v>4.2286123408555598</c:v>
                </c:pt>
                <c:pt idx="79">
                  <c:v>4.2253952303467299</c:v>
                </c:pt>
                <c:pt idx="80">
                  <c:v>4.2221812478014469</c:v>
                </c:pt>
                <c:pt idx="81">
                  <c:v>4.2189703932197125</c:v>
                </c:pt>
                <c:pt idx="82">
                  <c:v>4.2157626666015249</c:v>
                </c:pt>
                <c:pt idx="83">
                  <c:v>4.2125580679468859</c:v>
                </c:pt>
                <c:pt idx="84">
                  <c:v>4.2093565972557947</c:v>
                </c:pt>
                <c:pt idx="85">
                  <c:v>4.2061582545282503</c:v>
                </c:pt>
                <c:pt idx="86">
                  <c:v>4.2029630397642546</c:v>
                </c:pt>
                <c:pt idx="87">
                  <c:v>4.1997709529638056</c:v>
                </c:pt>
                <c:pt idx="88">
                  <c:v>4.1969083449903843</c:v>
                </c:pt>
                <c:pt idx="89">
                  <c:v>4.1947015667074679</c:v>
                </c:pt>
                <c:pt idx="90">
                  <c:v>4.1931506181150562</c:v>
                </c:pt>
                <c:pt idx="91">
                  <c:v>4.1920149439212659</c:v>
                </c:pt>
                <c:pt idx="92">
                  <c:v>4.1910539888342129</c:v>
                </c:pt>
                <c:pt idx="93">
                  <c:v>4.190267752853897</c:v>
                </c:pt>
                <c:pt idx="94">
                  <c:v>4.1896562359803173</c:v>
                </c:pt>
                <c:pt idx="95">
                  <c:v>4.1892194382134749</c:v>
                </c:pt>
                <c:pt idx="96">
                  <c:v>4.1889573595533696</c:v>
                </c:pt>
                <c:pt idx="97">
                  <c:v>4.1888700000000014</c:v>
                </c:pt>
                <c:pt idx="98">
                  <c:v>4.1888700000000014</c:v>
                </c:pt>
                <c:pt idx="99">
                  <c:v>4.1888700000000014</c:v>
                </c:pt>
                <c:pt idx="100">
                  <c:v>4.1888700000000014</c:v>
                </c:pt>
                <c:pt idx="101">
                  <c:v>4.1888700000000014</c:v>
                </c:pt>
                <c:pt idx="102">
                  <c:v>4.1888700000000014</c:v>
                </c:pt>
                <c:pt idx="103">
                  <c:v>4.1888700000000014</c:v>
                </c:pt>
                <c:pt idx="104">
                  <c:v>4.1888700000000014</c:v>
                </c:pt>
                <c:pt idx="105">
                  <c:v>4.1888700000000014</c:v>
                </c:pt>
                <c:pt idx="106">
                  <c:v>4.1888700000000014</c:v>
                </c:pt>
                <c:pt idx="107">
                  <c:v>4.1888700000000014</c:v>
                </c:pt>
                <c:pt idx="108">
                  <c:v>4.1888700000000014</c:v>
                </c:pt>
                <c:pt idx="109">
                  <c:v>4.1888700000000014</c:v>
                </c:pt>
                <c:pt idx="110">
                  <c:v>4.1888700000000014</c:v>
                </c:pt>
                <c:pt idx="111">
                  <c:v>4.1888700000000014</c:v>
                </c:pt>
                <c:pt idx="112">
                  <c:v>4.1888700000000014</c:v>
                </c:pt>
                <c:pt idx="113">
                  <c:v>4.1888700000000014</c:v>
                </c:pt>
                <c:pt idx="114">
                  <c:v>4.1888700000000014</c:v>
                </c:pt>
                <c:pt idx="115">
                  <c:v>4.1888700000000014</c:v>
                </c:pt>
                <c:pt idx="116">
                  <c:v>4.1888700000000014</c:v>
                </c:pt>
                <c:pt idx="117">
                  <c:v>4.1888700000000014</c:v>
                </c:pt>
                <c:pt idx="118">
                  <c:v>4.1888700000000014</c:v>
                </c:pt>
                <c:pt idx="119">
                  <c:v>4.1888700000000014</c:v>
                </c:pt>
                <c:pt idx="120">
                  <c:v>4.1888700000000014</c:v>
                </c:pt>
                <c:pt idx="121">
                  <c:v>4.1888700000000014</c:v>
                </c:pt>
                <c:pt idx="122">
                  <c:v>4.1888700000000014</c:v>
                </c:pt>
                <c:pt idx="123">
                  <c:v>4.1888700000000014</c:v>
                </c:pt>
                <c:pt idx="124">
                  <c:v>4.1888700000000014</c:v>
                </c:pt>
                <c:pt idx="125">
                  <c:v>4.1888700000000014</c:v>
                </c:pt>
                <c:pt idx="126">
                  <c:v>4.1888700000000014</c:v>
                </c:pt>
                <c:pt idx="127">
                  <c:v>4.1888700000000014</c:v>
                </c:pt>
                <c:pt idx="128">
                  <c:v>4.1888700000000014</c:v>
                </c:pt>
                <c:pt idx="129">
                  <c:v>4.1888700000000014</c:v>
                </c:pt>
                <c:pt idx="130">
                  <c:v>4.1888700000000014</c:v>
                </c:pt>
                <c:pt idx="131">
                  <c:v>4.1888700000000014</c:v>
                </c:pt>
                <c:pt idx="132">
                  <c:v>4.1888700000000014</c:v>
                </c:pt>
                <c:pt idx="133">
                  <c:v>4.1888700000000014</c:v>
                </c:pt>
                <c:pt idx="134">
                  <c:v>4.1888700000000014</c:v>
                </c:pt>
                <c:pt idx="135">
                  <c:v>4.1888700000000014</c:v>
                </c:pt>
                <c:pt idx="136">
                  <c:v>4.1888700000000014</c:v>
                </c:pt>
                <c:pt idx="137">
                  <c:v>4.1888700000000014</c:v>
                </c:pt>
                <c:pt idx="138">
                  <c:v>4.1888700000000014</c:v>
                </c:pt>
                <c:pt idx="139">
                  <c:v>4.1888700000000014</c:v>
                </c:pt>
                <c:pt idx="140">
                  <c:v>4.1888700000000014</c:v>
                </c:pt>
                <c:pt idx="141">
                  <c:v>4.1888700000000014</c:v>
                </c:pt>
                <c:pt idx="142">
                  <c:v>4.1888700000000014</c:v>
                </c:pt>
                <c:pt idx="143">
                  <c:v>4.1888700000000014</c:v>
                </c:pt>
                <c:pt idx="144">
                  <c:v>4.1888700000000014</c:v>
                </c:pt>
                <c:pt idx="145">
                  <c:v>4.1888700000000014</c:v>
                </c:pt>
                <c:pt idx="146">
                  <c:v>4.1888700000000014</c:v>
                </c:pt>
                <c:pt idx="147">
                  <c:v>4.1888700000000014</c:v>
                </c:pt>
                <c:pt idx="148">
                  <c:v>4.1888700000000014</c:v>
                </c:pt>
                <c:pt idx="149">
                  <c:v>4.1888700000000014</c:v>
                </c:pt>
                <c:pt idx="150">
                  <c:v>4.1888700000000014</c:v>
                </c:pt>
                <c:pt idx="151">
                  <c:v>4.1888700000000014</c:v>
                </c:pt>
                <c:pt idx="152">
                  <c:v>4.1888700000000014</c:v>
                </c:pt>
                <c:pt idx="153">
                  <c:v>4.1888700000000014</c:v>
                </c:pt>
                <c:pt idx="154">
                  <c:v>4.1888700000000014</c:v>
                </c:pt>
                <c:pt idx="155">
                  <c:v>4.1888700000000014</c:v>
                </c:pt>
                <c:pt idx="156">
                  <c:v>4.1888700000000014</c:v>
                </c:pt>
                <c:pt idx="157">
                  <c:v>4.1888700000000014</c:v>
                </c:pt>
                <c:pt idx="158">
                  <c:v>4.1888700000000014</c:v>
                </c:pt>
                <c:pt idx="159">
                  <c:v>4.1888700000000014</c:v>
                </c:pt>
                <c:pt idx="160">
                  <c:v>4.1888700000000014</c:v>
                </c:pt>
                <c:pt idx="161">
                  <c:v>4.1888700000000014</c:v>
                </c:pt>
                <c:pt idx="162">
                  <c:v>4.1888700000000014</c:v>
                </c:pt>
                <c:pt idx="163">
                  <c:v>4.1888700000000014</c:v>
                </c:pt>
                <c:pt idx="164">
                  <c:v>4.1888700000000014</c:v>
                </c:pt>
                <c:pt idx="165">
                  <c:v>4.1888700000000014</c:v>
                </c:pt>
                <c:pt idx="166">
                  <c:v>4.1888700000000014</c:v>
                </c:pt>
                <c:pt idx="167">
                  <c:v>4.1888700000000014</c:v>
                </c:pt>
                <c:pt idx="168">
                  <c:v>4.1888700000000014</c:v>
                </c:pt>
                <c:pt idx="169">
                  <c:v>4.1888700000000014</c:v>
                </c:pt>
                <c:pt idx="170">
                  <c:v>4.1888700000000014</c:v>
                </c:pt>
                <c:pt idx="171">
                  <c:v>4.1888700000000014</c:v>
                </c:pt>
                <c:pt idx="172">
                  <c:v>4.1888700000000014</c:v>
                </c:pt>
                <c:pt idx="173">
                  <c:v>4.1888700000000014</c:v>
                </c:pt>
                <c:pt idx="174">
                  <c:v>4.1888700000000014</c:v>
                </c:pt>
                <c:pt idx="175">
                  <c:v>4.1888700000000014</c:v>
                </c:pt>
                <c:pt idx="176">
                  <c:v>4.1888700000000014</c:v>
                </c:pt>
                <c:pt idx="177">
                  <c:v>4.1888700000000014</c:v>
                </c:pt>
                <c:pt idx="178">
                  <c:v>4.1888700000000014</c:v>
                </c:pt>
                <c:pt idx="179">
                  <c:v>4.1888700000000014</c:v>
                </c:pt>
                <c:pt idx="180">
                  <c:v>4.1888700000000014</c:v>
                </c:pt>
                <c:pt idx="181">
                  <c:v>4.1888700000000014</c:v>
                </c:pt>
                <c:pt idx="182">
                  <c:v>4.1888700000000014</c:v>
                </c:pt>
                <c:pt idx="183">
                  <c:v>4.1888700000000014</c:v>
                </c:pt>
                <c:pt idx="184">
                  <c:v>4.1888700000000014</c:v>
                </c:pt>
                <c:pt idx="185">
                  <c:v>4.1888700000000014</c:v>
                </c:pt>
                <c:pt idx="186">
                  <c:v>4.1888700000000014</c:v>
                </c:pt>
                <c:pt idx="187">
                  <c:v>4.1888700000000014</c:v>
                </c:pt>
                <c:pt idx="188">
                  <c:v>4.1888700000000014</c:v>
                </c:pt>
                <c:pt idx="189">
                  <c:v>4.1888700000000014</c:v>
                </c:pt>
                <c:pt idx="190">
                  <c:v>4.1888700000000014</c:v>
                </c:pt>
                <c:pt idx="191">
                  <c:v>4.1888700000000014</c:v>
                </c:pt>
                <c:pt idx="192">
                  <c:v>4.1888700000000014</c:v>
                </c:pt>
                <c:pt idx="193">
                  <c:v>4.1888700000000014</c:v>
                </c:pt>
                <c:pt idx="194">
                  <c:v>4.1888700000000014</c:v>
                </c:pt>
                <c:pt idx="195">
                  <c:v>4.1888700000000014</c:v>
                </c:pt>
                <c:pt idx="196">
                  <c:v>4.1888700000000014</c:v>
                </c:pt>
                <c:pt idx="197">
                  <c:v>4.1888700000000014</c:v>
                </c:pt>
                <c:pt idx="198">
                  <c:v>4.1888700000000014</c:v>
                </c:pt>
                <c:pt idx="199">
                  <c:v>4.1888700000000014</c:v>
                </c:pt>
                <c:pt idx="200">
                  <c:v>4.1888700000000014</c:v>
                </c:pt>
                <c:pt idx="201">
                  <c:v>4.1888700000000014</c:v>
                </c:pt>
                <c:pt idx="202">
                  <c:v>4.1888700000000014</c:v>
                </c:pt>
                <c:pt idx="203">
                  <c:v>4.1888700000000014</c:v>
                </c:pt>
                <c:pt idx="204">
                  <c:v>4.1888700000000014</c:v>
                </c:pt>
                <c:pt idx="205">
                  <c:v>4.1888700000000014</c:v>
                </c:pt>
                <c:pt idx="206">
                  <c:v>4.1888700000000014</c:v>
                </c:pt>
                <c:pt idx="207">
                  <c:v>4.1888700000000014</c:v>
                </c:pt>
                <c:pt idx="208">
                  <c:v>4.1888700000000014</c:v>
                </c:pt>
                <c:pt idx="209">
                  <c:v>4.1888700000000014</c:v>
                </c:pt>
                <c:pt idx="210">
                  <c:v>4.1888700000000014</c:v>
                </c:pt>
                <c:pt idx="211">
                  <c:v>4.1888700000000014</c:v>
                </c:pt>
                <c:pt idx="212">
                  <c:v>4.1888700000000014</c:v>
                </c:pt>
                <c:pt idx="213">
                  <c:v>4.1888700000000014</c:v>
                </c:pt>
                <c:pt idx="214">
                  <c:v>4.1888700000000014</c:v>
                </c:pt>
                <c:pt idx="215">
                  <c:v>4.1888700000000014</c:v>
                </c:pt>
                <c:pt idx="216">
                  <c:v>4.1888700000000014</c:v>
                </c:pt>
                <c:pt idx="217">
                  <c:v>4.1888700000000014</c:v>
                </c:pt>
                <c:pt idx="218">
                  <c:v>4.1888700000000014</c:v>
                </c:pt>
                <c:pt idx="219">
                  <c:v>4.1888700000000014</c:v>
                </c:pt>
                <c:pt idx="220">
                  <c:v>4.1888700000000014</c:v>
                </c:pt>
                <c:pt idx="221">
                  <c:v>4.1888700000000014</c:v>
                </c:pt>
                <c:pt idx="222">
                  <c:v>4.1888700000000014</c:v>
                </c:pt>
                <c:pt idx="223">
                  <c:v>4.1888700000000014</c:v>
                </c:pt>
                <c:pt idx="224">
                  <c:v>4.1888700000000014</c:v>
                </c:pt>
                <c:pt idx="225">
                  <c:v>4.1888700000000014</c:v>
                </c:pt>
                <c:pt idx="226">
                  <c:v>4.1888700000000014</c:v>
                </c:pt>
                <c:pt idx="227">
                  <c:v>4.1888700000000014</c:v>
                </c:pt>
                <c:pt idx="228">
                  <c:v>4.1888700000000014</c:v>
                </c:pt>
                <c:pt idx="229">
                  <c:v>4.1888700000000014</c:v>
                </c:pt>
                <c:pt idx="230">
                  <c:v>4.1888700000000014</c:v>
                </c:pt>
                <c:pt idx="231">
                  <c:v>4.1888700000000014</c:v>
                </c:pt>
                <c:pt idx="232">
                  <c:v>4.1888700000000014</c:v>
                </c:pt>
                <c:pt idx="233">
                  <c:v>4.1888700000000014</c:v>
                </c:pt>
                <c:pt idx="234">
                  <c:v>4.1888700000000014</c:v>
                </c:pt>
                <c:pt idx="235">
                  <c:v>4.1888700000000014</c:v>
                </c:pt>
                <c:pt idx="236">
                  <c:v>4.1888700000000014</c:v>
                </c:pt>
                <c:pt idx="237">
                  <c:v>4.1888700000000014</c:v>
                </c:pt>
                <c:pt idx="238">
                  <c:v>4.1888700000000014</c:v>
                </c:pt>
                <c:pt idx="239">
                  <c:v>4.1888700000000014</c:v>
                </c:pt>
                <c:pt idx="240">
                  <c:v>4.1888700000000014</c:v>
                </c:pt>
                <c:pt idx="241">
                  <c:v>4.1888700000000014</c:v>
                </c:pt>
                <c:pt idx="242">
                  <c:v>4.1888700000000014</c:v>
                </c:pt>
                <c:pt idx="243">
                  <c:v>4.1888700000000014</c:v>
                </c:pt>
                <c:pt idx="244">
                  <c:v>4.1888700000000014</c:v>
                </c:pt>
                <c:pt idx="245">
                  <c:v>4.1888700000000014</c:v>
                </c:pt>
                <c:pt idx="246">
                  <c:v>4.1888700000000014</c:v>
                </c:pt>
                <c:pt idx="247">
                  <c:v>4.1888700000000014</c:v>
                </c:pt>
                <c:pt idx="248">
                  <c:v>4.1888700000000014</c:v>
                </c:pt>
                <c:pt idx="249">
                  <c:v>4.1888700000000014</c:v>
                </c:pt>
                <c:pt idx="250">
                  <c:v>4.1888700000000014</c:v>
                </c:pt>
                <c:pt idx="251">
                  <c:v>4.1888700000000014</c:v>
                </c:pt>
                <c:pt idx="252">
                  <c:v>4.1888700000000014</c:v>
                </c:pt>
                <c:pt idx="253">
                  <c:v>4.1888700000000014</c:v>
                </c:pt>
                <c:pt idx="254">
                  <c:v>4.1888700000000014</c:v>
                </c:pt>
                <c:pt idx="255">
                  <c:v>4.1888700000000014</c:v>
                </c:pt>
                <c:pt idx="256">
                  <c:v>4.1888700000000014</c:v>
                </c:pt>
                <c:pt idx="257">
                  <c:v>4.1888700000000014</c:v>
                </c:pt>
                <c:pt idx="258">
                  <c:v>4.1888700000000014</c:v>
                </c:pt>
                <c:pt idx="259">
                  <c:v>4.1888700000000014</c:v>
                </c:pt>
                <c:pt idx="260">
                  <c:v>4.1888700000000014</c:v>
                </c:pt>
                <c:pt idx="261">
                  <c:v>4.1888700000000014</c:v>
                </c:pt>
                <c:pt idx="262">
                  <c:v>4.1888700000000014</c:v>
                </c:pt>
                <c:pt idx="263">
                  <c:v>4.1888700000000014</c:v>
                </c:pt>
                <c:pt idx="264">
                  <c:v>4.1888700000000014</c:v>
                </c:pt>
                <c:pt idx="265">
                  <c:v>4.1888700000000014</c:v>
                </c:pt>
                <c:pt idx="266">
                  <c:v>4.1888700000000014</c:v>
                </c:pt>
                <c:pt idx="267">
                  <c:v>4.1888700000000014</c:v>
                </c:pt>
                <c:pt idx="268">
                  <c:v>4.1888700000000014</c:v>
                </c:pt>
                <c:pt idx="269">
                  <c:v>4.1888700000000014</c:v>
                </c:pt>
                <c:pt idx="270">
                  <c:v>4.1888700000000014</c:v>
                </c:pt>
                <c:pt idx="271">
                  <c:v>4.1888700000000014</c:v>
                </c:pt>
                <c:pt idx="272">
                  <c:v>4.1888700000000014</c:v>
                </c:pt>
                <c:pt idx="273">
                  <c:v>4.1888700000000014</c:v>
                </c:pt>
                <c:pt idx="274">
                  <c:v>4.1888700000000014</c:v>
                </c:pt>
                <c:pt idx="275">
                  <c:v>4.1888700000000014</c:v>
                </c:pt>
                <c:pt idx="276">
                  <c:v>4.1888700000000014</c:v>
                </c:pt>
                <c:pt idx="277">
                  <c:v>4.1888700000000014</c:v>
                </c:pt>
                <c:pt idx="278">
                  <c:v>4.1888700000000014</c:v>
                </c:pt>
                <c:pt idx="279">
                  <c:v>4.1888700000000014</c:v>
                </c:pt>
                <c:pt idx="280">
                  <c:v>4.1888700000000014</c:v>
                </c:pt>
                <c:pt idx="281">
                  <c:v>4.1888700000000014</c:v>
                </c:pt>
                <c:pt idx="282">
                  <c:v>4.1888700000000014</c:v>
                </c:pt>
                <c:pt idx="283">
                  <c:v>4.1888700000000014</c:v>
                </c:pt>
                <c:pt idx="284">
                  <c:v>4.1888700000000014</c:v>
                </c:pt>
                <c:pt idx="285">
                  <c:v>4.1888700000000014</c:v>
                </c:pt>
                <c:pt idx="286">
                  <c:v>4.1888700000000014</c:v>
                </c:pt>
                <c:pt idx="287">
                  <c:v>4.1888700000000014</c:v>
                </c:pt>
                <c:pt idx="288">
                  <c:v>4.1888700000000014</c:v>
                </c:pt>
                <c:pt idx="289">
                  <c:v>4.1888700000000014</c:v>
                </c:pt>
                <c:pt idx="290">
                  <c:v>4.1888700000000014</c:v>
                </c:pt>
                <c:pt idx="291">
                  <c:v>4.1888700000000014</c:v>
                </c:pt>
                <c:pt idx="292">
                  <c:v>4.1888700000000014</c:v>
                </c:pt>
                <c:pt idx="293">
                  <c:v>4.1888700000000014</c:v>
                </c:pt>
                <c:pt idx="294">
                  <c:v>4.1888700000000014</c:v>
                </c:pt>
                <c:pt idx="295">
                  <c:v>4.1888700000000014</c:v>
                </c:pt>
                <c:pt idx="296">
                  <c:v>4.1888700000000014</c:v>
                </c:pt>
                <c:pt idx="297">
                  <c:v>4.1888700000000014</c:v>
                </c:pt>
                <c:pt idx="298">
                  <c:v>4.1888700000000014</c:v>
                </c:pt>
                <c:pt idx="299">
                  <c:v>4.1888700000000014</c:v>
                </c:pt>
                <c:pt idx="300">
                  <c:v>4.1888700000000014</c:v>
                </c:pt>
                <c:pt idx="301">
                  <c:v>4.1888700000000014</c:v>
                </c:pt>
                <c:pt idx="302">
                  <c:v>4.1888700000000014</c:v>
                </c:pt>
                <c:pt idx="303">
                  <c:v>4.1888700000000014</c:v>
                </c:pt>
                <c:pt idx="304">
                  <c:v>4.1888700000000014</c:v>
                </c:pt>
                <c:pt idx="305">
                  <c:v>4.1888700000000014</c:v>
                </c:pt>
                <c:pt idx="306">
                  <c:v>4.1888700000000014</c:v>
                </c:pt>
                <c:pt idx="307">
                  <c:v>4.1888700000000014</c:v>
                </c:pt>
                <c:pt idx="308">
                  <c:v>4.1888700000000014</c:v>
                </c:pt>
                <c:pt idx="309">
                  <c:v>4.1888700000000014</c:v>
                </c:pt>
                <c:pt idx="310">
                  <c:v>4.1888700000000014</c:v>
                </c:pt>
                <c:pt idx="311">
                  <c:v>4.1888700000000014</c:v>
                </c:pt>
                <c:pt idx="312">
                  <c:v>4.1888700000000014</c:v>
                </c:pt>
                <c:pt idx="313">
                  <c:v>4.1888700000000014</c:v>
                </c:pt>
                <c:pt idx="314">
                  <c:v>4.1888700000000014</c:v>
                </c:pt>
                <c:pt idx="315">
                  <c:v>4.1888700000000014</c:v>
                </c:pt>
                <c:pt idx="316">
                  <c:v>4.1888700000000014</c:v>
                </c:pt>
                <c:pt idx="317">
                  <c:v>4.1888700000000014</c:v>
                </c:pt>
                <c:pt idx="318">
                  <c:v>4.1888700000000014</c:v>
                </c:pt>
                <c:pt idx="319">
                  <c:v>4.1888700000000014</c:v>
                </c:pt>
                <c:pt idx="320">
                  <c:v>4.1888700000000014</c:v>
                </c:pt>
                <c:pt idx="321">
                  <c:v>4.1888700000000014</c:v>
                </c:pt>
                <c:pt idx="322">
                  <c:v>4.1888700000000014</c:v>
                </c:pt>
                <c:pt idx="323">
                  <c:v>4.1888700000000014</c:v>
                </c:pt>
                <c:pt idx="324">
                  <c:v>4.1888700000000014</c:v>
                </c:pt>
                <c:pt idx="325">
                  <c:v>4.1888700000000014</c:v>
                </c:pt>
                <c:pt idx="326">
                  <c:v>4.1888700000000014</c:v>
                </c:pt>
                <c:pt idx="327">
                  <c:v>4.1888700000000014</c:v>
                </c:pt>
                <c:pt idx="328">
                  <c:v>4.1888700000000014</c:v>
                </c:pt>
                <c:pt idx="329">
                  <c:v>4.1888700000000014</c:v>
                </c:pt>
                <c:pt idx="330">
                  <c:v>4.1888700000000014</c:v>
                </c:pt>
                <c:pt idx="331">
                  <c:v>4.1888700000000014</c:v>
                </c:pt>
                <c:pt idx="332">
                  <c:v>4.1888700000000014</c:v>
                </c:pt>
                <c:pt idx="333">
                  <c:v>4.1888700000000014</c:v>
                </c:pt>
                <c:pt idx="334">
                  <c:v>4.1888700000000014</c:v>
                </c:pt>
                <c:pt idx="335">
                  <c:v>4.1888700000000014</c:v>
                </c:pt>
                <c:pt idx="336">
                  <c:v>4.1888700000000014</c:v>
                </c:pt>
                <c:pt idx="337">
                  <c:v>4.1888700000000014</c:v>
                </c:pt>
                <c:pt idx="338">
                  <c:v>4.1888700000000014</c:v>
                </c:pt>
                <c:pt idx="339">
                  <c:v>4.1888700000000014</c:v>
                </c:pt>
                <c:pt idx="340">
                  <c:v>4.1888700000000014</c:v>
                </c:pt>
                <c:pt idx="341">
                  <c:v>4.1888700000000014</c:v>
                </c:pt>
                <c:pt idx="342">
                  <c:v>4.1888700000000014</c:v>
                </c:pt>
                <c:pt idx="343">
                  <c:v>4.1888700000000014</c:v>
                </c:pt>
                <c:pt idx="344">
                  <c:v>4.1888700000000014</c:v>
                </c:pt>
                <c:pt idx="345">
                  <c:v>4.1888700000000014</c:v>
                </c:pt>
                <c:pt idx="346">
                  <c:v>4.1888700000000014</c:v>
                </c:pt>
                <c:pt idx="347">
                  <c:v>4.1888700000000014</c:v>
                </c:pt>
                <c:pt idx="348">
                  <c:v>4.1888700000000014</c:v>
                </c:pt>
                <c:pt idx="349">
                  <c:v>4.1888700000000014</c:v>
                </c:pt>
                <c:pt idx="350">
                  <c:v>4.1888700000000014</c:v>
                </c:pt>
                <c:pt idx="351">
                  <c:v>4.1888700000000014</c:v>
                </c:pt>
                <c:pt idx="352">
                  <c:v>4.1888700000000014</c:v>
                </c:pt>
                <c:pt idx="353">
                  <c:v>4.1888700000000014</c:v>
                </c:pt>
                <c:pt idx="354">
                  <c:v>4.1888700000000014</c:v>
                </c:pt>
                <c:pt idx="355">
                  <c:v>4.1888700000000014</c:v>
                </c:pt>
                <c:pt idx="356">
                  <c:v>4.1888700000000014</c:v>
                </c:pt>
                <c:pt idx="357">
                  <c:v>4.1888700000000014</c:v>
                </c:pt>
                <c:pt idx="358">
                  <c:v>4.1888700000000014</c:v>
                </c:pt>
                <c:pt idx="359">
                  <c:v>4.1888700000000014</c:v>
                </c:pt>
                <c:pt idx="360">
                  <c:v>4.1888700000000014</c:v>
                </c:pt>
                <c:pt idx="361">
                  <c:v>4.1888700000000014</c:v>
                </c:pt>
                <c:pt idx="362">
                  <c:v>4.1888700000000014</c:v>
                </c:pt>
                <c:pt idx="363">
                  <c:v>4.1888700000000014</c:v>
                </c:pt>
                <c:pt idx="364">
                  <c:v>4.1888700000000014</c:v>
                </c:pt>
                <c:pt idx="365">
                  <c:v>4.1888700000000014</c:v>
                </c:pt>
                <c:pt idx="366">
                  <c:v>4.1888700000000014</c:v>
                </c:pt>
                <c:pt idx="367">
                  <c:v>4.1888700000000014</c:v>
                </c:pt>
                <c:pt idx="368">
                  <c:v>4.1888700000000014</c:v>
                </c:pt>
                <c:pt idx="369">
                  <c:v>4.1888700000000014</c:v>
                </c:pt>
                <c:pt idx="370">
                  <c:v>4.1888700000000014</c:v>
                </c:pt>
                <c:pt idx="371">
                  <c:v>4.1888700000000014</c:v>
                </c:pt>
                <c:pt idx="372">
                  <c:v>4.1888700000000014</c:v>
                </c:pt>
                <c:pt idx="373">
                  <c:v>4.1888700000000014</c:v>
                </c:pt>
                <c:pt idx="374">
                  <c:v>4.1888700000000014</c:v>
                </c:pt>
                <c:pt idx="375">
                  <c:v>4.1888700000000014</c:v>
                </c:pt>
                <c:pt idx="376">
                  <c:v>4.1888700000000014</c:v>
                </c:pt>
                <c:pt idx="377">
                  <c:v>4.1888700000000014</c:v>
                </c:pt>
                <c:pt idx="378">
                  <c:v>4.1888700000000014</c:v>
                </c:pt>
                <c:pt idx="379">
                  <c:v>4.1888700000000014</c:v>
                </c:pt>
                <c:pt idx="380">
                  <c:v>4.1888700000000014</c:v>
                </c:pt>
                <c:pt idx="381">
                  <c:v>4.1888700000000014</c:v>
                </c:pt>
                <c:pt idx="382">
                  <c:v>4.1888700000000014</c:v>
                </c:pt>
                <c:pt idx="383">
                  <c:v>4.1888700000000014</c:v>
                </c:pt>
                <c:pt idx="384">
                  <c:v>4.1888700000000014</c:v>
                </c:pt>
                <c:pt idx="385">
                  <c:v>4.1888700000000014</c:v>
                </c:pt>
                <c:pt idx="386">
                  <c:v>4.1888700000000014</c:v>
                </c:pt>
                <c:pt idx="387">
                  <c:v>4.1888700000000014</c:v>
                </c:pt>
                <c:pt idx="388">
                  <c:v>4.1888700000000014</c:v>
                </c:pt>
                <c:pt idx="389">
                  <c:v>4.1888700000000014</c:v>
                </c:pt>
                <c:pt idx="390">
                  <c:v>4.1888700000000014</c:v>
                </c:pt>
                <c:pt idx="391">
                  <c:v>4.1888700000000014</c:v>
                </c:pt>
                <c:pt idx="392">
                  <c:v>4.1888700000000014</c:v>
                </c:pt>
                <c:pt idx="393">
                  <c:v>4.1888700000000014</c:v>
                </c:pt>
                <c:pt idx="394">
                  <c:v>4.1888700000000014</c:v>
                </c:pt>
                <c:pt idx="395">
                  <c:v>4.1888700000000014</c:v>
                </c:pt>
                <c:pt idx="396">
                  <c:v>4.1888700000000014</c:v>
                </c:pt>
                <c:pt idx="397">
                  <c:v>4.1888700000000014</c:v>
                </c:pt>
                <c:pt idx="398">
                  <c:v>4.1888700000000014</c:v>
                </c:pt>
                <c:pt idx="399">
                  <c:v>4.1888700000000014</c:v>
                </c:pt>
                <c:pt idx="400">
                  <c:v>4.1888700000000014</c:v>
                </c:pt>
                <c:pt idx="401">
                  <c:v>4.1888700000000014</c:v>
                </c:pt>
                <c:pt idx="402">
                  <c:v>4.1888700000000014</c:v>
                </c:pt>
                <c:pt idx="403">
                  <c:v>4.1888700000000014</c:v>
                </c:pt>
                <c:pt idx="404">
                  <c:v>4.1888700000000014</c:v>
                </c:pt>
                <c:pt idx="405">
                  <c:v>4.1888700000000014</c:v>
                </c:pt>
                <c:pt idx="406">
                  <c:v>4.1888700000000014</c:v>
                </c:pt>
                <c:pt idx="407">
                  <c:v>4.1888700000000014</c:v>
                </c:pt>
                <c:pt idx="408">
                  <c:v>4.1888700000000014</c:v>
                </c:pt>
                <c:pt idx="409">
                  <c:v>4.1888700000000014</c:v>
                </c:pt>
                <c:pt idx="410">
                  <c:v>4.1888700000000014</c:v>
                </c:pt>
                <c:pt idx="411">
                  <c:v>4.1888700000000014</c:v>
                </c:pt>
                <c:pt idx="412">
                  <c:v>4.1888700000000014</c:v>
                </c:pt>
                <c:pt idx="413">
                  <c:v>4.1888700000000014</c:v>
                </c:pt>
                <c:pt idx="414">
                  <c:v>4.1888700000000014</c:v>
                </c:pt>
                <c:pt idx="415">
                  <c:v>4.1888700000000014</c:v>
                </c:pt>
                <c:pt idx="416">
                  <c:v>4.1888700000000014</c:v>
                </c:pt>
                <c:pt idx="417">
                  <c:v>4.1888700000000014</c:v>
                </c:pt>
                <c:pt idx="418">
                  <c:v>4.1888700000000014</c:v>
                </c:pt>
                <c:pt idx="419">
                  <c:v>4.1888700000000014</c:v>
                </c:pt>
                <c:pt idx="420">
                  <c:v>4.1888700000000014</c:v>
                </c:pt>
                <c:pt idx="421">
                  <c:v>4.1888700000000014</c:v>
                </c:pt>
                <c:pt idx="422">
                  <c:v>4.1888700000000014</c:v>
                </c:pt>
                <c:pt idx="423">
                  <c:v>4.1888700000000014</c:v>
                </c:pt>
                <c:pt idx="424">
                  <c:v>4.1888700000000014</c:v>
                </c:pt>
                <c:pt idx="425">
                  <c:v>4.1888700000000014</c:v>
                </c:pt>
                <c:pt idx="426">
                  <c:v>4.1888700000000014</c:v>
                </c:pt>
                <c:pt idx="427">
                  <c:v>4.1888700000000014</c:v>
                </c:pt>
                <c:pt idx="428">
                  <c:v>4.1888700000000014</c:v>
                </c:pt>
                <c:pt idx="429">
                  <c:v>4.1888700000000014</c:v>
                </c:pt>
                <c:pt idx="430">
                  <c:v>4.1888700000000014</c:v>
                </c:pt>
                <c:pt idx="431">
                  <c:v>4.1888700000000014</c:v>
                </c:pt>
                <c:pt idx="432">
                  <c:v>4.1888700000000014</c:v>
                </c:pt>
                <c:pt idx="433">
                  <c:v>4.1888700000000014</c:v>
                </c:pt>
                <c:pt idx="434">
                  <c:v>4.1888700000000014</c:v>
                </c:pt>
                <c:pt idx="435">
                  <c:v>4.1888700000000014</c:v>
                </c:pt>
                <c:pt idx="436">
                  <c:v>4.1888700000000014</c:v>
                </c:pt>
                <c:pt idx="437">
                  <c:v>4.1888700000000014</c:v>
                </c:pt>
                <c:pt idx="438">
                  <c:v>4.1888700000000014</c:v>
                </c:pt>
                <c:pt idx="439">
                  <c:v>4.1888700000000014</c:v>
                </c:pt>
                <c:pt idx="440">
                  <c:v>4.1888700000000014</c:v>
                </c:pt>
                <c:pt idx="441">
                  <c:v>4.1888700000000014</c:v>
                </c:pt>
                <c:pt idx="442">
                  <c:v>4.1888700000000014</c:v>
                </c:pt>
                <c:pt idx="443">
                  <c:v>4.1888700000000014</c:v>
                </c:pt>
                <c:pt idx="444">
                  <c:v>4.1888700000000014</c:v>
                </c:pt>
                <c:pt idx="445">
                  <c:v>4.1888700000000014</c:v>
                </c:pt>
                <c:pt idx="446">
                  <c:v>4.1888700000000014</c:v>
                </c:pt>
                <c:pt idx="447">
                  <c:v>4.1888700000000014</c:v>
                </c:pt>
                <c:pt idx="448">
                  <c:v>4.1888700000000014</c:v>
                </c:pt>
                <c:pt idx="449">
                  <c:v>4.1888700000000014</c:v>
                </c:pt>
                <c:pt idx="450">
                  <c:v>4.1888700000000014</c:v>
                </c:pt>
                <c:pt idx="451">
                  <c:v>4.1888700000000014</c:v>
                </c:pt>
                <c:pt idx="452">
                  <c:v>4.1888700000000014</c:v>
                </c:pt>
                <c:pt idx="453">
                  <c:v>4.1888700000000014</c:v>
                </c:pt>
                <c:pt idx="454">
                  <c:v>4.1888700000000014</c:v>
                </c:pt>
                <c:pt idx="455">
                  <c:v>4.1888700000000014</c:v>
                </c:pt>
                <c:pt idx="456">
                  <c:v>4.1888700000000014</c:v>
                </c:pt>
                <c:pt idx="457">
                  <c:v>4.1888700000000014</c:v>
                </c:pt>
                <c:pt idx="458">
                  <c:v>4.1888700000000014</c:v>
                </c:pt>
                <c:pt idx="459">
                  <c:v>4.1888700000000014</c:v>
                </c:pt>
                <c:pt idx="460">
                  <c:v>4.1888700000000014</c:v>
                </c:pt>
                <c:pt idx="461">
                  <c:v>4.1888700000000014</c:v>
                </c:pt>
                <c:pt idx="462">
                  <c:v>4.1888700000000014</c:v>
                </c:pt>
                <c:pt idx="463">
                  <c:v>4.1888700000000014</c:v>
                </c:pt>
                <c:pt idx="464">
                  <c:v>4.1888700000000014</c:v>
                </c:pt>
                <c:pt idx="465">
                  <c:v>4.1888700000000014</c:v>
                </c:pt>
                <c:pt idx="466">
                  <c:v>4.1888700000000014</c:v>
                </c:pt>
                <c:pt idx="467">
                  <c:v>4.1888700000000014</c:v>
                </c:pt>
                <c:pt idx="468">
                  <c:v>4.1888700000000014</c:v>
                </c:pt>
                <c:pt idx="469">
                  <c:v>4.1888700000000014</c:v>
                </c:pt>
                <c:pt idx="470">
                  <c:v>4.1888700000000014</c:v>
                </c:pt>
                <c:pt idx="471">
                  <c:v>4.1888700000000014</c:v>
                </c:pt>
                <c:pt idx="472">
                  <c:v>4.1888700000000014</c:v>
                </c:pt>
                <c:pt idx="473">
                  <c:v>4.1888700000000014</c:v>
                </c:pt>
                <c:pt idx="474">
                  <c:v>4.1888700000000014</c:v>
                </c:pt>
                <c:pt idx="475">
                  <c:v>4.1888700000000014</c:v>
                </c:pt>
                <c:pt idx="476">
                  <c:v>4.1888700000000014</c:v>
                </c:pt>
                <c:pt idx="477">
                  <c:v>4.1888700000000014</c:v>
                </c:pt>
                <c:pt idx="478">
                  <c:v>4.1888700000000014</c:v>
                </c:pt>
                <c:pt idx="479">
                  <c:v>4.1888700000000014</c:v>
                </c:pt>
                <c:pt idx="480">
                  <c:v>4.1888700000000014</c:v>
                </c:pt>
                <c:pt idx="481">
                  <c:v>4.1888700000000014</c:v>
                </c:pt>
                <c:pt idx="482">
                  <c:v>4.1888700000000014</c:v>
                </c:pt>
                <c:pt idx="483">
                  <c:v>4.1888700000000014</c:v>
                </c:pt>
                <c:pt idx="484">
                  <c:v>4.1888700000000014</c:v>
                </c:pt>
                <c:pt idx="485">
                  <c:v>4.1888700000000014</c:v>
                </c:pt>
                <c:pt idx="486">
                  <c:v>4.1888700000000014</c:v>
                </c:pt>
                <c:pt idx="487">
                  <c:v>4.1888700000000014</c:v>
                </c:pt>
                <c:pt idx="488">
                  <c:v>4.1888700000000014</c:v>
                </c:pt>
                <c:pt idx="489">
                  <c:v>4.1888700000000014</c:v>
                </c:pt>
                <c:pt idx="490">
                  <c:v>4.1888700000000014</c:v>
                </c:pt>
                <c:pt idx="491">
                  <c:v>4.1888700000000014</c:v>
                </c:pt>
                <c:pt idx="492">
                  <c:v>4.1888700000000014</c:v>
                </c:pt>
                <c:pt idx="493">
                  <c:v>4.1888700000000014</c:v>
                </c:pt>
                <c:pt idx="494">
                  <c:v>4.1888700000000014</c:v>
                </c:pt>
                <c:pt idx="495">
                  <c:v>4.1888700000000014</c:v>
                </c:pt>
                <c:pt idx="496">
                  <c:v>4.1888700000000014</c:v>
                </c:pt>
                <c:pt idx="497">
                  <c:v>4.1888700000000014</c:v>
                </c:pt>
                <c:pt idx="498">
                  <c:v>4.1888700000000014</c:v>
                </c:pt>
                <c:pt idx="499">
                  <c:v>4.1888700000000014</c:v>
                </c:pt>
                <c:pt idx="500">
                  <c:v>4.1888700000000014</c:v>
                </c:pt>
                <c:pt idx="501">
                  <c:v>4.1888700000000014</c:v>
                </c:pt>
                <c:pt idx="502">
                  <c:v>4.1888700000000014</c:v>
                </c:pt>
                <c:pt idx="503">
                  <c:v>4.1888700000000014</c:v>
                </c:pt>
                <c:pt idx="504">
                  <c:v>4.1888700000000014</c:v>
                </c:pt>
                <c:pt idx="505">
                  <c:v>4.1888700000000014</c:v>
                </c:pt>
                <c:pt idx="506">
                  <c:v>4.1888700000000014</c:v>
                </c:pt>
                <c:pt idx="507">
                  <c:v>4.1888700000000014</c:v>
                </c:pt>
                <c:pt idx="508">
                  <c:v>4.1888700000000014</c:v>
                </c:pt>
                <c:pt idx="509">
                  <c:v>4.1888700000000014</c:v>
                </c:pt>
                <c:pt idx="510">
                  <c:v>4.1888700000000014</c:v>
                </c:pt>
                <c:pt idx="511">
                  <c:v>4.1888700000000014</c:v>
                </c:pt>
                <c:pt idx="512">
                  <c:v>4.1888700000000014</c:v>
                </c:pt>
                <c:pt idx="513">
                  <c:v>4.1888700000000014</c:v>
                </c:pt>
                <c:pt idx="514">
                  <c:v>4.1888700000000014</c:v>
                </c:pt>
                <c:pt idx="515">
                  <c:v>4.1888700000000014</c:v>
                </c:pt>
                <c:pt idx="516">
                  <c:v>4.1888700000000014</c:v>
                </c:pt>
                <c:pt idx="517">
                  <c:v>4.1888700000000014</c:v>
                </c:pt>
                <c:pt idx="518">
                  <c:v>4.1888700000000014</c:v>
                </c:pt>
                <c:pt idx="519">
                  <c:v>4.1888700000000014</c:v>
                </c:pt>
                <c:pt idx="520">
                  <c:v>4.1888700000000014</c:v>
                </c:pt>
                <c:pt idx="521">
                  <c:v>4.1888700000000014</c:v>
                </c:pt>
                <c:pt idx="522">
                  <c:v>4.1888700000000014</c:v>
                </c:pt>
                <c:pt idx="523">
                  <c:v>4.1888700000000014</c:v>
                </c:pt>
                <c:pt idx="524">
                  <c:v>4.1888700000000014</c:v>
                </c:pt>
                <c:pt idx="525">
                  <c:v>4.1888700000000014</c:v>
                </c:pt>
                <c:pt idx="526">
                  <c:v>4.1888700000000014</c:v>
                </c:pt>
                <c:pt idx="527">
                  <c:v>4.1888700000000014</c:v>
                </c:pt>
                <c:pt idx="528">
                  <c:v>4.1888700000000014</c:v>
                </c:pt>
                <c:pt idx="529">
                  <c:v>4.1888700000000014</c:v>
                </c:pt>
                <c:pt idx="530">
                  <c:v>4.1888700000000014</c:v>
                </c:pt>
                <c:pt idx="531">
                  <c:v>4.1888700000000014</c:v>
                </c:pt>
                <c:pt idx="532">
                  <c:v>4.1888700000000014</c:v>
                </c:pt>
                <c:pt idx="533">
                  <c:v>4.1888700000000014</c:v>
                </c:pt>
                <c:pt idx="534">
                  <c:v>4.1888700000000014</c:v>
                </c:pt>
                <c:pt idx="535">
                  <c:v>4.1888700000000014</c:v>
                </c:pt>
                <c:pt idx="536">
                  <c:v>4.1888700000000014</c:v>
                </c:pt>
                <c:pt idx="537">
                  <c:v>4.1888700000000014</c:v>
                </c:pt>
                <c:pt idx="538">
                  <c:v>4.1888700000000014</c:v>
                </c:pt>
                <c:pt idx="539">
                  <c:v>4.1888700000000014</c:v>
                </c:pt>
                <c:pt idx="540">
                  <c:v>4.1888700000000014</c:v>
                </c:pt>
                <c:pt idx="541">
                  <c:v>4.1888700000000014</c:v>
                </c:pt>
                <c:pt idx="542">
                  <c:v>4.1888700000000014</c:v>
                </c:pt>
                <c:pt idx="543">
                  <c:v>4.1888700000000014</c:v>
                </c:pt>
                <c:pt idx="544">
                  <c:v>4.1888700000000014</c:v>
                </c:pt>
                <c:pt idx="545">
                  <c:v>4.1888700000000014</c:v>
                </c:pt>
                <c:pt idx="546">
                  <c:v>4.1888700000000014</c:v>
                </c:pt>
                <c:pt idx="547">
                  <c:v>4.1888700000000014</c:v>
                </c:pt>
                <c:pt idx="548">
                  <c:v>4.1888700000000014</c:v>
                </c:pt>
                <c:pt idx="549">
                  <c:v>4.1888700000000014</c:v>
                </c:pt>
                <c:pt idx="550">
                  <c:v>4.1888700000000014</c:v>
                </c:pt>
                <c:pt idx="551">
                  <c:v>4.1888700000000014</c:v>
                </c:pt>
                <c:pt idx="552">
                  <c:v>4.1888700000000014</c:v>
                </c:pt>
                <c:pt idx="553">
                  <c:v>4.1888700000000014</c:v>
                </c:pt>
                <c:pt idx="554">
                  <c:v>4.1888700000000014</c:v>
                </c:pt>
                <c:pt idx="555">
                  <c:v>4.1888700000000014</c:v>
                </c:pt>
                <c:pt idx="556">
                  <c:v>4.1888700000000014</c:v>
                </c:pt>
                <c:pt idx="557">
                  <c:v>4.1888700000000014</c:v>
                </c:pt>
                <c:pt idx="558">
                  <c:v>4.1888700000000014</c:v>
                </c:pt>
                <c:pt idx="559">
                  <c:v>4.1888700000000014</c:v>
                </c:pt>
                <c:pt idx="560">
                  <c:v>4.1888700000000014</c:v>
                </c:pt>
                <c:pt idx="561">
                  <c:v>4.1888700000000014</c:v>
                </c:pt>
                <c:pt idx="562">
                  <c:v>4.1888700000000014</c:v>
                </c:pt>
                <c:pt idx="563">
                  <c:v>4.1888700000000014</c:v>
                </c:pt>
                <c:pt idx="564">
                  <c:v>4.1888700000000014</c:v>
                </c:pt>
                <c:pt idx="565">
                  <c:v>4.1888700000000014</c:v>
                </c:pt>
                <c:pt idx="566">
                  <c:v>4.1888700000000014</c:v>
                </c:pt>
                <c:pt idx="567">
                  <c:v>4.1888700000000014</c:v>
                </c:pt>
                <c:pt idx="568">
                  <c:v>4.1888700000000014</c:v>
                </c:pt>
                <c:pt idx="569">
                  <c:v>4.1888700000000014</c:v>
                </c:pt>
                <c:pt idx="570">
                  <c:v>4.1888700000000014</c:v>
                </c:pt>
                <c:pt idx="571">
                  <c:v>4.1888700000000014</c:v>
                </c:pt>
                <c:pt idx="572">
                  <c:v>4.1888700000000014</c:v>
                </c:pt>
                <c:pt idx="573">
                  <c:v>4.1888700000000014</c:v>
                </c:pt>
                <c:pt idx="574">
                  <c:v>4.1888700000000014</c:v>
                </c:pt>
                <c:pt idx="575">
                  <c:v>4.1888700000000014</c:v>
                </c:pt>
                <c:pt idx="576">
                  <c:v>4.1888700000000014</c:v>
                </c:pt>
                <c:pt idx="577">
                  <c:v>4.1888700000000014</c:v>
                </c:pt>
                <c:pt idx="578">
                  <c:v>4.1888700000000014</c:v>
                </c:pt>
                <c:pt idx="579">
                  <c:v>4.1888700000000014</c:v>
                </c:pt>
                <c:pt idx="580">
                  <c:v>4.1888700000000014</c:v>
                </c:pt>
                <c:pt idx="581">
                  <c:v>4.1888700000000014</c:v>
                </c:pt>
                <c:pt idx="582">
                  <c:v>4.1888700000000014</c:v>
                </c:pt>
                <c:pt idx="583">
                  <c:v>4.1888700000000014</c:v>
                </c:pt>
                <c:pt idx="584">
                  <c:v>4.1888700000000014</c:v>
                </c:pt>
                <c:pt idx="585">
                  <c:v>4.1888700000000014</c:v>
                </c:pt>
                <c:pt idx="586">
                  <c:v>4.1888700000000014</c:v>
                </c:pt>
                <c:pt idx="587">
                  <c:v>4.1888700000000014</c:v>
                </c:pt>
                <c:pt idx="588">
                  <c:v>4.1888700000000014</c:v>
                </c:pt>
                <c:pt idx="589">
                  <c:v>4.1888700000000014</c:v>
                </c:pt>
                <c:pt idx="590">
                  <c:v>4.1888700000000014</c:v>
                </c:pt>
                <c:pt idx="591">
                  <c:v>4.1888700000000014</c:v>
                </c:pt>
                <c:pt idx="592">
                  <c:v>4.1888700000000014</c:v>
                </c:pt>
                <c:pt idx="593">
                  <c:v>4.1888700000000014</c:v>
                </c:pt>
                <c:pt idx="594">
                  <c:v>4.1888700000000014</c:v>
                </c:pt>
                <c:pt idx="595">
                  <c:v>4.1888700000000014</c:v>
                </c:pt>
                <c:pt idx="596">
                  <c:v>4.1888700000000014</c:v>
                </c:pt>
                <c:pt idx="597">
                  <c:v>4.1888700000000014</c:v>
                </c:pt>
                <c:pt idx="598">
                  <c:v>4.1888700000000014</c:v>
                </c:pt>
                <c:pt idx="599">
                  <c:v>4.1888700000000014</c:v>
                </c:pt>
                <c:pt idx="600">
                  <c:v>4.1888700000000014</c:v>
                </c:pt>
                <c:pt idx="601">
                  <c:v>4.1888700000000014</c:v>
                </c:pt>
                <c:pt idx="602">
                  <c:v>4.1888700000000014</c:v>
                </c:pt>
                <c:pt idx="603">
                  <c:v>4.1888700000000014</c:v>
                </c:pt>
                <c:pt idx="604">
                  <c:v>4.1888700000000014</c:v>
                </c:pt>
                <c:pt idx="605">
                  <c:v>4.1888700000000014</c:v>
                </c:pt>
                <c:pt idx="606">
                  <c:v>4.1888700000000014</c:v>
                </c:pt>
                <c:pt idx="607">
                  <c:v>4.1888700000000014</c:v>
                </c:pt>
                <c:pt idx="608">
                  <c:v>4.1888700000000014</c:v>
                </c:pt>
                <c:pt idx="609">
                  <c:v>4.1888700000000014</c:v>
                </c:pt>
                <c:pt idx="610">
                  <c:v>4.1888700000000014</c:v>
                </c:pt>
                <c:pt idx="611">
                  <c:v>4.1888700000000014</c:v>
                </c:pt>
                <c:pt idx="612">
                  <c:v>4.1888700000000014</c:v>
                </c:pt>
                <c:pt idx="613">
                  <c:v>4.1888700000000014</c:v>
                </c:pt>
                <c:pt idx="614">
                  <c:v>4.1888700000000014</c:v>
                </c:pt>
                <c:pt idx="615">
                  <c:v>4.1888700000000014</c:v>
                </c:pt>
                <c:pt idx="616">
                  <c:v>4.1888700000000014</c:v>
                </c:pt>
                <c:pt idx="617">
                  <c:v>4.1888700000000014</c:v>
                </c:pt>
                <c:pt idx="618">
                  <c:v>4.1888700000000014</c:v>
                </c:pt>
                <c:pt idx="619">
                  <c:v>4.1888700000000014</c:v>
                </c:pt>
                <c:pt idx="620">
                  <c:v>4.1888700000000014</c:v>
                </c:pt>
                <c:pt idx="621">
                  <c:v>4.1888700000000014</c:v>
                </c:pt>
                <c:pt idx="622">
                  <c:v>4.1888700000000014</c:v>
                </c:pt>
                <c:pt idx="623">
                  <c:v>4.1888700000000014</c:v>
                </c:pt>
                <c:pt idx="624">
                  <c:v>4.1888700000000014</c:v>
                </c:pt>
                <c:pt idx="625">
                  <c:v>4.1888700000000014</c:v>
                </c:pt>
                <c:pt idx="626">
                  <c:v>4.1888700000000014</c:v>
                </c:pt>
                <c:pt idx="627">
                  <c:v>4.1888700000000014</c:v>
                </c:pt>
                <c:pt idx="628">
                  <c:v>4.1888700000000014</c:v>
                </c:pt>
                <c:pt idx="629">
                  <c:v>4.1888700000000014</c:v>
                </c:pt>
                <c:pt idx="630">
                  <c:v>4.1888700000000014</c:v>
                </c:pt>
                <c:pt idx="631">
                  <c:v>4.1888700000000014</c:v>
                </c:pt>
                <c:pt idx="632">
                  <c:v>4.1888700000000014</c:v>
                </c:pt>
                <c:pt idx="633">
                  <c:v>4.1888700000000014</c:v>
                </c:pt>
                <c:pt idx="634">
                  <c:v>4.1888700000000014</c:v>
                </c:pt>
                <c:pt idx="635">
                  <c:v>4.1888700000000014</c:v>
                </c:pt>
                <c:pt idx="636">
                  <c:v>4.1888700000000014</c:v>
                </c:pt>
                <c:pt idx="637">
                  <c:v>4.1888700000000014</c:v>
                </c:pt>
                <c:pt idx="638">
                  <c:v>4.1888700000000014</c:v>
                </c:pt>
                <c:pt idx="639">
                  <c:v>4.1888700000000014</c:v>
                </c:pt>
                <c:pt idx="640">
                  <c:v>4.1888700000000014</c:v>
                </c:pt>
                <c:pt idx="641">
                  <c:v>4.1888700000000014</c:v>
                </c:pt>
                <c:pt idx="642">
                  <c:v>4.1888700000000014</c:v>
                </c:pt>
                <c:pt idx="643">
                  <c:v>4.1888700000000014</c:v>
                </c:pt>
                <c:pt idx="644">
                  <c:v>4.1888700000000014</c:v>
                </c:pt>
                <c:pt idx="645">
                  <c:v>4.1888700000000014</c:v>
                </c:pt>
                <c:pt idx="646">
                  <c:v>4.1888700000000014</c:v>
                </c:pt>
                <c:pt idx="647">
                  <c:v>4.1888700000000014</c:v>
                </c:pt>
                <c:pt idx="648">
                  <c:v>4.1888700000000014</c:v>
                </c:pt>
                <c:pt idx="649">
                  <c:v>4.1888700000000014</c:v>
                </c:pt>
                <c:pt idx="650">
                  <c:v>4.1888700000000014</c:v>
                </c:pt>
                <c:pt idx="651">
                  <c:v>4.1888700000000014</c:v>
                </c:pt>
                <c:pt idx="652">
                  <c:v>4.1888700000000014</c:v>
                </c:pt>
                <c:pt idx="653">
                  <c:v>4.1888700000000014</c:v>
                </c:pt>
                <c:pt idx="654">
                  <c:v>4.1888700000000014</c:v>
                </c:pt>
                <c:pt idx="655">
                  <c:v>4.1888700000000014</c:v>
                </c:pt>
                <c:pt idx="656">
                  <c:v>4.1888700000000014</c:v>
                </c:pt>
                <c:pt idx="657">
                  <c:v>4.1888700000000014</c:v>
                </c:pt>
                <c:pt idx="658">
                  <c:v>4.1888700000000014</c:v>
                </c:pt>
                <c:pt idx="659">
                  <c:v>4.1888700000000014</c:v>
                </c:pt>
                <c:pt idx="660">
                  <c:v>4.1888700000000014</c:v>
                </c:pt>
                <c:pt idx="661">
                  <c:v>4.1888700000000014</c:v>
                </c:pt>
                <c:pt idx="662">
                  <c:v>4.1888700000000014</c:v>
                </c:pt>
                <c:pt idx="663">
                  <c:v>4.1888700000000014</c:v>
                </c:pt>
                <c:pt idx="664">
                  <c:v>4.1888700000000014</c:v>
                </c:pt>
                <c:pt idx="665">
                  <c:v>4.1888700000000014</c:v>
                </c:pt>
                <c:pt idx="666">
                  <c:v>4.1888700000000014</c:v>
                </c:pt>
                <c:pt idx="667">
                  <c:v>4.1888700000000014</c:v>
                </c:pt>
                <c:pt idx="668">
                  <c:v>4.1888700000000014</c:v>
                </c:pt>
                <c:pt idx="669">
                  <c:v>4.1888700000000014</c:v>
                </c:pt>
                <c:pt idx="670">
                  <c:v>4.1888700000000014</c:v>
                </c:pt>
                <c:pt idx="671">
                  <c:v>4.1888700000000014</c:v>
                </c:pt>
                <c:pt idx="672">
                  <c:v>4.1888700000000014</c:v>
                </c:pt>
                <c:pt idx="673">
                  <c:v>4.1888700000000014</c:v>
                </c:pt>
                <c:pt idx="674">
                  <c:v>4.1888700000000014</c:v>
                </c:pt>
                <c:pt idx="675">
                  <c:v>4.1888700000000014</c:v>
                </c:pt>
                <c:pt idx="676">
                  <c:v>4.1888700000000014</c:v>
                </c:pt>
                <c:pt idx="677">
                  <c:v>4.1888700000000014</c:v>
                </c:pt>
                <c:pt idx="678">
                  <c:v>4.1888700000000014</c:v>
                </c:pt>
                <c:pt idx="679">
                  <c:v>4.1888700000000014</c:v>
                </c:pt>
                <c:pt idx="680">
                  <c:v>4.1888700000000014</c:v>
                </c:pt>
                <c:pt idx="681">
                  <c:v>4.1888700000000014</c:v>
                </c:pt>
                <c:pt idx="682">
                  <c:v>4.1888700000000014</c:v>
                </c:pt>
                <c:pt idx="683">
                  <c:v>4.1888700000000014</c:v>
                </c:pt>
                <c:pt idx="684">
                  <c:v>4.1888700000000014</c:v>
                </c:pt>
                <c:pt idx="685">
                  <c:v>4.1888700000000014</c:v>
                </c:pt>
                <c:pt idx="686">
                  <c:v>4.1888700000000014</c:v>
                </c:pt>
                <c:pt idx="687">
                  <c:v>4.1888700000000014</c:v>
                </c:pt>
                <c:pt idx="688">
                  <c:v>4.1888700000000014</c:v>
                </c:pt>
                <c:pt idx="689">
                  <c:v>4.1888700000000014</c:v>
                </c:pt>
                <c:pt idx="690">
                  <c:v>4.1888700000000014</c:v>
                </c:pt>
                <c:pt idx="691">
                  <c:v>4.1888700000000014</c:v>
                </c:pt>
                <c:pt idx="692">
                  <c:v>4.1888700000000014</c:v>
                </c:pt>
                <c:pt idx="693">
                  <c:v>4.1888700000000014</c:v>
                </c:pt>
                <c:pt idx="694">
                  <c:v>4.1888700000000014</c:v>
                </c:pt>
                <c:pt idx="695">
                  <c:v>4.1888700000000014</c:v>
                </c:pt>
                <c:pt idx="696">
                  <c:v>4.1888700000000014</c:v>
                </c:pt>
                <c:pt idx="697">
                  <c:v>4.1888700000000014</c:v>
                </c:pt>
                <c:pt idx="698">
                  <c:v>4.1888700000000014</c:v>
                </c:pt>
                <c:pt idx="699">
                  <c:v>4.1888700000000014</c:v>
                </c:pt>
                <c:pt idx="700">
                  <c:v>4.1888700000000014</c:v>
                </c:pt>
                <c:pt idx="701">
                  <c:v>4.1888700000000014</c:v>
                </c:pt>
                <c:pt idx="702">
                  <c:v>4.1888700000000014</c:v>
                </c:pt>
                <c:pt idx="703">
                  <c:v>4.1888700000000014</c:v>
                </c:pt>
                <c:pt idx="704">
                  <c:v>4.1888700000000014</c:v>
                </c:pt>
                <c:pt idx="705">
                  <c:v>4.1888700000000014</c:v>
                </c:pt>
                <c:pt idx="706">
                  <c:v>4.1888700000000014</c:v>
                </c:pt>
                <c:pt idx="707">
                  <c:v>4.1888700000000014</c:v>
                </c:pt>
                <c:pt idx="708">
                  <c:v>4.1888700000000014</c:v>
                </c:pt>
                <c:pt idx="709">
                  <c:v>4.1888700000000014</c:v>
                </c:pt>
                <c:pt idx="710">
                  <c:v>4.1888700000000014</c:v>
                </c:pt>
                <c:pt idx="711">
                  <c:v>4.1888700000000014</c:v>
                </c:pt>
                <c:pt idx="712">
                  <c:v>4.1888700000000014</c:v>
                </c:pt>
                <c:pt idx="713">
                  <c:v>4.1888700000000014</c:v>
                </c:pt>
                <c:pt idx="714">
                  <c:v>4.1888700000000014</c:v>
                </c:pt>
                <c:pt idx="715">
                  <c:v>4.1888700000000014</c:v>
                </c:pt>
                <c:pt idx="716">
                  <c:v>4.1888700000000014</c:v>
                </c:pt>
                <c:pt idx="717">
                  <c:v>4.1888700000000014</c:v>
                </c:pt>
                <c:pt idx="718">
                  <c:v>4.1888700000000014</c:v>
                </c:pt>
                <c:pt idx="719">
                  <c:v>4.1888700000000014</c:v>
                </c:pt>
                <c:pt idx="720">
                  <c:v>4.1888700000000014</c:v>
                </c:pt>
                <c:pt idx="721">
                  <c:v>4.1888700000000014</c:v>
                </c:pt>
                <c:pt idx="722">
                  <c:v>4.1888700000000014</c:v>
                </c:pt>
                <c:pt idx="723">
                  <c:v>4.1888700000000014</c:v>
                </c:pt>
                <c:pt idx="724">
                  <c:v>4.1888700000000014</c:v>
                </c:pt>
                <c:pt idx="725">
                  <c:v>4.1888700000000014</c:v>
                </c:pt>
                <c:pt idx="726">
                  <c:v>4.1888700000000014</c:v>
                </c:pt>
                <c:pt idx="727">
                  <c:v>4.1888700000000014</c:v>
                </c:pt>
                <c:pt idx="728">
                  <c:v>4.1888700000000014</c:v>
                </c:pt>
                <c:pt idx="729">
                  <c:v>4.1888700000000014</c:v>
                </c:pt>
                <c:pt idx="730">
                  <c:v>4.1888700000000014</c:v>
                </c:pt>
                <c:pt idx="731">
                  <c:v>4.1888700000000014</c:v>
                </c:pt>
                <c:pt idx="732">
                  <c:v>4.1888700000000014</c:v>
                </c:pt>
                <c:pt idx="733">
                  <c:v>4.1888700000000014</c:v>
                </c:pt>
                <c:pt idx="734">
                  <c:v>4.1888700000000014</c:v>
                </c:pt>
                <c:pt idx="735">
                  <c:v>4.1888700000000014</c:v>
                </c:pt>
                <c:pt idx="736">
                  <c:v>4.1888700000000014</c:v>
                </c:pt>
                <c:pt idx="737">
                  <c:v>4.1888700000000014</c:v>
                </c:pt>
                <c:pt idx="738">
                  <c:v>4.1888700000000014</c:v>
                </c:pt>
                <c:pt idx="739">
                  <c:v>4.1888700000000014</c:v>
                </c:pt>
                <c:pt idx="740">
                  <c:v>4.1888700000000014</c:v>
                </c:pt>
                <c:pt idx="741">
                  <c:v>4.1888700000000014</c:v>
                </c:pt>
                <c:pt idx="742">
                  <c:v>4.1888700000000014</c:v>
                </c:pt>
                <c:pt idx="743">
                  <c:v>4.1888700000000014</c:v>
                </c:pt>
                <c:pt idx="744">
                  <c:v>4.1888700000000014</c:v>
                </c:pt>
                <c:pt idx="745">
                  <c:v>4.1888700000000014</c:v>
                </c:pt>
                <c:pt idx="746">
                  <c:v>4.1888700000000014</c:v>
                </c:pt>
                <c:pt idx="747">
                  <c:v>4.1888700000000014</c:v>
                </c:pt>
                <c:pt idx="748">
                  <c:v>4.1888700000000014</c:v>
                </c:pt>
                <c:pt idx="749">
                  <c:v>4.1888700000000014</c:v>
                </c:pt>
                <c:pt idx="750">
                  <c:v>4.1888700000000014</c:v>
                </c:pt>
                <c:pt idx="751">
                  <c:v>4.1888700000000014</c:v>
                </c:pt>
                <c:pt idx="752">
                  <c:v>4.1888700000000014</c:v>
                </c:pt>
                <c:pt idx="753">
                  <c:v>4.1888700000000014</c:v>
                </c:pt>
                <c:pt idx="754">
                  <c:v>4.1888700000000014</c:v>
                </c:pt>
                <c:pt idx="755">
                  <c:v>4.1888700000000014</c:v>
                </c:pt>
                <c:pt idx="756">
                  <c:v>4.1888700000000014</c:v>
                </c:pt>
                <c:pt idx="757">
                  <c:v>4.1888700000000014</c:v>
                </c:pt>
                <c:pt idx="758">
                  <c:v>4.1888700000000014</c:v>
                </c:pt>
                <c:pt idx="759">
                  <c:v>4.1888700000000014</c:v>
                </c:pt>
                <c:pt idx="760">
                  <c:v>4.1888700000000014</c:v>
                </c:pt>
                <c:pt idx="761">
                  <c:v>4.1888700000000014</c:v>
                </c:pt>
                <c:pt idx="762">
                  <c:v>4.1888700000000014</c:v>
                </c:pt>
                <c:pt idx="763">
                  <c:v>4.1888700000000014</c:v>
                </c:pt>
                <c:pt idx="764">
                  <c:v>4.1888700000000014</c:v>
                </c:pt>
                <c:pt idx="765">
                  <c:v>4.1888700000000014</c:v>
                </c:pt>
                <c:pt idx="766">
                  <c:v>4.1888700000000014</c:v>
                </c:pt>
                <c:pt idx="767">
                  <c:v>4.1888700000000014</c:v>
                </c:pt>
                <c:pt idx="768">
                  <c:v>4.1888700000000014</c:v>
                </c:pt>
                <c:pt idx="769">
                  <c:v>4.1888700000000014</c:v>
                </c:pt>
                <c:pt idx="770">
                  <c:v>4.1888700000000014</c:v>
                </c:pt>
                <c:pt idx="771">
                  <c:v>4.1888700000000014</c:v>
                </c:pt>
                <c:pt idx="772">
                  <c:v>4.1888700000000014</c:v>
                </c:pt>
                <c:pt idx="773">
                  <c:v>4.1888700000000014</c:v>
                </c:pt>
                <c:pt idx="774">
                  <c:v>4.1888700000000014</c:v>
                </c:pt>
                <c:pt idx="775">
                  <c:v>4.1888700000000014</c:v>
                </c:pt>
                <c:pt idx="776">
                  <c:v>4.1888700000000014</c:v>
                </c:pt>
                <c:pt idx="777">
                  <c:v>4.1888700000000014</c:v>
                </c:pt>
                <c:pt idx="778">
                  <c:v>4.1888700000000014</c:v>
                </c:pt>
                <c:pt idx="779">
                  <c:v>4.1888700000000014</c:v>
                </c:pt>
                <c:pt idx="780">
                  <c:v>4.1888700000000014</c:v>
                </c:pt>
                <c:pt idx="781">
                  <c:v>4.1888700000000014</c:v>
                </c:pt>
                <c:pt idx="782">
                  <c:v>4.1888700000000014</c:v>
                </c:pt>
                <c:pt idx="783">
                  <c:v>4.1888700000000014</c:v>
                </c:pt>
                <c:pt idx="784">
                  <c:v>4.1888700000000014</c:v>
                </c:pt>
                <c:pt idx="785">
                  <c:v>4.1888700000000014</c:v>
                </c:pt>
                <c:pt idx="786">
                  <c:v>4.1888700000000014</c:v>
                </c:pt>
                <c:pt idx="787">
                  <c:v>4.1888700000000014</c:v>
                </c:pt>
                <c:pt idx="788">
                  <c:v>4.1888700000000014</c:v>
                </c:pt>
                <c:pt idx="789">
                  <c:v>4.1888700000000014</c:v>
                </c:pt>
                <c:pt idx="790">
                  <c:v>4.1888700000000014</c:v>
                </c:pt>
                <c:pt idx="791">
                  <c:v>4.1888700000000014</c:v>
                </c:pt>
                <c:pt idx="792">
                  <c:v>4.1888700000000014</c:v>
                </c:pt>
                <c:pt idx="793">
                  <c:v>4.1888700000000014</c:v>
                </c:pt>
                <c:pt idx="794">
                  <c:v>4.1888700000000014</c:v>
                </c:pt>
                <c:pt idx="795">
                  <c:v>4.1888700000000014</c:v>
                </c:pt>
                <c:pt idx="796">
                  <c:v>4.1888700000000014</c:v>
                </c:pt>
                <c:pt idx="797">
                  <c:v>4.1888700000000014</c:v>
                </c:pt>
                <c:pt idx="798">
                  <c:v>4.1888700000000014</c:v>
                </c:pt>
                <c:pt idx="799">
                  <c:v>4.1888700000000014</c:v>
                </c:pt>
                <c:pt idx="800">
                  <c:v>4.1888700000000014</c:v>
                </c:pt>
                <c:pt idx="801">
                  <c:v>4.1888700000000014</c:v>
                </c:pt>
                <c:pt idx="802">
                  <c:v>4.1888700000000014</c:v>
                </c:pt>
                <c:pt idx="803">
                  <c:v>4.1888700000000014</c:v>
                </c:pt>
                <c:pt idx="804">
                  <c:v>4.1888700000000014</c:v>
                </c:pt>
                <c:pt idx="805">
                  <c:v>4.1888700000000014</c:v>
                </c:pt>
                <c:pt idx="806">
                  <c:v>4.1888700000000014</c:v>
                </c:pt>
                <c:pt idx="807">
                  <c:v>4.1888700000000014</c:v>
                </c:pt>
                <c:pt idx="808">
                  <c:v>4.1888700000000014</c:v>
                </c:pt>
                <c:pt idx="809">
                  <c:v>4.1888700000000014</c:v>
                </c:pt>
                <c:pt idx="810">
                  <c:v>4.1888700000000014</c:v>
                </c:pt>
                <c:pt idx="811">
                  <c:v>4.1888700000000014</c:v>
                </c:pt>
                <c:pt idx="812">
                  <c:v>4.1888700000000014</c:v>
                </c:pt>
                <c:pt idx="813">
                  <c:v>4.1888700000000014</c:v>
                </c:pt>
                <c:pt idx="814">
                  <c:v>4.1888700000000014</c:v>
                </c:pt>
                <c:pt idx="815">
                  <c:v>4.1888700000000014</c:v>
                </c:pt>
                <c:pt idx="816">
                  <c:v>4.1888700000000014</c:v>
                </c:pt>
                <c:pt idx="817">
                  <c:v>4.1888700000000014</c:v>
                </c:pt>
                <c:pt idx="818">
                  <c:v>4.1888700000000014</c:v>
                </c:pt>
                <c:pt idx="819">
                  <c:v>4.1888700000000014</c:v>
                </c:pt>
                <c:pt idx="820">
                  <c:v>4.1888700000000014</c:v>
                </c:pt>
                <c:pt idx="821">
                  <c:v>4.1888700000000014</c:v>
                </c:pt>
                <c:pt idx="822">
                  <c:v>4.1888700000000014</c:v>
                </c:pt>
                <c:pt idx="823">
                  <c:v>4.1888700000000014</c:v>
                </c:pt>
                <c:pt idx="824">
                  <c:v>4.1888700000000014</c:v>
                </c:pt>
                <c:pt idx="825">
                  <c:v>4.1888700000000014</c:v>
                </c:pt>
                <c:pt idx="826">
                  <c:v>4.1888700000000014</c:v>
                </c:pt>
                <c:pt idx="827">
                  <c:v>4.1888700000000014</c:v>
                </c:pt>
                <c:pt idx="828">
                  <c:v>4.1888700000000014</c:v>
                </c:pt>
                <c:pt idx="829">
                  <c:v>4.1888700000000014</c:v>
                </c:pt>
                <c:pt idx="830">
                  <c:v>4.1888700000000014</c:v>
                </c:pt>
                <c:pt idx="831">
                  <c:v>4.1888700000000014</c:v>
                </c:pt>
                <c:pt idx="832">
                  <c:v>4.1888700000000014</c:v>
                </c:pt>
                <c:pt idx="833">
                  <c:v>4.1888700000000014</c:v>
                </c:pt>
                <c:pt idx="834">
                  <c:v>4.1888700000000014</c:v>
                </c:pt>
                <c:pt idx="835">
                  <c:v>4.1888700000000014</c:v>
                </c:pt>
                <c:pt idx="836">
                  <c:v>4.1888700000000014</c:v>
                </c:pt>
                <c:pt idx="837">
                  <c:v>4.1888700000000014</c:v>
                </c:pt>
                <c:pt idx="838">
                  <c:v>4.1888700000000014</c:v>
                </c:pt>
                <c:pt idx="839">
                  <c:v>4.1888700000000014</c:v>
                </c:pt>
                <c:pt idx="840">
                  <c:v>4.1888700000000014</c:v>
                </c:pt>
                <c:pt idx="841">
                  <c:v>4.1888700000000014</c:v>
                </c:pt>
                <c:pt idx="842">
                  <c:v>4.1888700000000014</c:v>
                </c:pt>
                <c:pt idx="843">
                  <c:v>4.1888700000000014</c:v>
                </c:pt>
                <c:pt idx="844">
                  <c:v>4.1888700000000014</c:v>
                </c:pt>
                <c:pt idx="845">
                  <c:v>4.1888700000000014</c:v>
                </c:pt>
                <c:pt idx="846">
                  <c:v>4.1888700000000014</c:v>
                </c:pt>
                <c:pt idx="847">
                  <c:v>4.1888700000000014</c:v>
                </c:pt>
                <c:pt idx="848">
                  <c:v>4.1888700000000014</c:v>
                </c:pt>
                <c:pt idx="849">
                  <c:v>4.1888700000000014</c:v>
                </c:pt>
                <c:pt idx="850">
                  <c:v>4.1888700000000014</c:v>
                </c:pt>
                <c:pt idx="851">
                  <c:v>4.1888700000000014</c:v>
                </c:pt>
                <c:pt idx="852">
                  <c:v>4.1888700000000014</c:v>
                </c:pt>
                <c:pt idx="853">
                  <c:v>4.1888700000000014</c:v>
                </c:pt>
                <c:pt idx="854">
                  <c:v>4.1888700000000014</c:v>
                </c:pt>
                <c:pt idx="855">
                  <c:v>4.1888700000000014</c:v>
                </c:pt>
                <c:pt idx="856">
                  <c:v>4.1888700000000014</c:v>
                </c:pt>
                <c:pt idx="857">
                  <c:v>4.1888700000000014</c:v>
                </c:pt>
                <c:pt idx="858">
                  <c:v>4.1888700000000014</c:v>
                </c:pt>
                <c:pt idx="859">
                  <c:v>4.1888700000000014</c:v>
                </c:pt>
                <c:pt idx="860">
                  <c:v>4.1888700000000014</c:v>
                </c:pt>
                <c:pt idx="861">
                  <c:v>4.1888700000000014</c:v>
                </c:pt>
                <c:pt idx="862">
                  <c:v>4.1888700000000014</c:v>
                </c:pt>
                <c:pt idx="863">
                  <c:v>4.1888700000000014</c:v>
                </c:pt>
                <c:pt idx="864">
                  <c:v>4.1888700000000014</c:v>
                </c:pt>
                <c:pt idx="865">
                  <c:v>4.1888700000000014</c:v>
                </c:pt>
                <c:pt idx="866">
                  <c:v>4.1888700000000014</c:v>
                </c:pt>
                <c:pt idx="867">
                  <c:v>4.1888700000000014</c:v>
                </c:pt>
                <c:pt idx="868">
                  <c:v>4.1888700000000014</c:v>
                </c:pt>
                <c:pt idx="869">
                  <c:v>4.1888700000000014</c:v>
                </c:pt>
                <c:pt idx="870">
                  <c:v>4.1888700000000014</c:v>
                </c:pt>
                <c:pt idx="871">
                  <c:v>4.1888700000000014</c:v>
                </c:pt>
                <c:pt idx="872">
                  <c:v>4.1888700000000014</c:v>
                </c:pt>
                <c:pt idx="873">
                  <c:v>4.1888700000000014</c:v>
                </c:pt>
                <c:pt idx="874">
                  <c:v>4.1888700000000014</c:v>
                </c:pt>
                <c:pt idx="875">
                  <c:v>4.1888700000000014</c:v>
                </c:pt>
                <c:pt idx="876">
                  <c:v>4.1888700000000014</c:v>
                </c:pt>
                <c:pt idx="877">
                  <c:v>4.1888700000000014</c:v>
                </c:pt>
                <c:pt idx="878">
                  <c:v>4.1888700000000014</c:v>
                </c:pt>
                <c:pt idx="879">
                  <c:v>4.1888700000000014</c:v>
                </c:pt>
                <c:pt idx="880">
                  <c:v>4.1888700000000014</c:v>
                </c:pt>
                <c:pt idx="881">
                  <c:v>4.1888700000000014</c:v>
                </c:pt>
                <c:pt idx="882">
                  <c:v>4.1888700000000014</c:v>
                </c:pt>
                <c:pt idx="883">
                  <c:v>4.1888700000000014</c:v>
                </c:pt>
                <c:pt idx="884">
                  <c:v>4.1888700000000014</c:v>
                </c:pt>
                <c:pt idx="885">
                  <c:v>4.1888700000000014</c:v>
                </c:pt>
                <c:pt idx="886">
                  <c:v>4.1888700000000014</c:v>
                </c:pt>
                <c:pt idx="887">
                  <c:v>4.1888700000000014</c:v>
                </c:pt>
                <c:pt idx="888">
                  <c:v>4.1888700000000014</c:v>
                </c:pt>
                <c:pt idx="889">
                  <c:v>4.1888700000000014</c:v>
                </c:pt>
                <c:pt idx="890">
                  <c:v>4.1888700000000014</c:v>
                </c:pt>
                <c:pt idx="891">
                  <c:v>4.1888700000000014</c:v>
                </c:pt>
                <c:pt idx="892">
                  <c:v>4.1888700000000014</c:v>
                </c:pt>
                <c:pt idx="893">
                  <c:v>4.1888700000000014</c:v>
                </c:pt>
                <c:pt idx="894">
                  <c:v>4.1888700000000014</c:v>
                </c:pt>
                <c:pt idx="895">
                  <c:v>4.1888700000000014</c:v>
                </c:pt>
                <c:pt idx="896">
                  <c:v>4.1888700000000014</c:v>
                </c:pt>
                <c:pt idx="897">
                  <c:v>4.1888700000000014</c:v>
                </c:pt>
                <c:pt idx="898">
                  <c:v>4.1888700000000014</c:v>
                </c:pt>
                <c:pt idx="899">
                  <c:v>4.1888700000000014</c:v>
                </c:pt>
                <c:pt idx="900">
                  <c:v>4.1888700000000014</c:v>
                </c:pt>
                <c:pt idx="901">
                  <c:v>4.1888700000000014</c:v>
                </c:pt>
                <c:pt idx="902">
                  <c:v>4.1888700000000014</c:v>
                </c:pt>
                <c:pt idx="903">
                  <c:v>4.1888700000000014</c:v>
                </c:pt>
                <c:pt idx="904">
                  <c:v>4.1888700000000014</c:v>
                </c:pt>
                <c:pt idx="905">
                  <c:v>4.1888700000000014</c:v>
                </c:pt>
                <c:pt idx="906">
                  <c:v>4.1888700000000014</c:v>
                </c:pt>
                <c:pt idx="907">
                  <c:v>4.1888700000000014</c:v>
                </c:pt>
                <c:pt idx="908">
                  <c:v>4.1888700000000014</c:v>
                </c:pt>
                <c:pt idx="909">
                  <c:v>4.1888700000000014</c:v>
                </c:pt>
                <c:pt idx="910">
                  <c:v>4.1888700000000014</c:v>
                </c:pt>
                <c:pt idx="911">
                  <c:v>4.1888700000000014</c:v>
                </c:pt>
                <c:pt idx="912">
                  <c:v>4.1888700000000014</c:v>
                </c:pt>
                <c:pt idx="913">
                  <c:v>4.1888700000000014</c:v>
                </c:pt>
                <c:pt idx="914">
                  <c:v>4.1888700000000014</c:v>
                </c:pt>
                <c:pt idx="915">
                  <c:v>4.1888700000000014</c:v>
                </c:pt>
                <c:pt idx="916">
                  <c:v>4.1888700000000014</c:v>
                </c:pt>
                <c:pt idx="917">
                  <c:v>4.1888700000000014</c:v>
                </c:pt>
                <c:pt idx="918">
                  <c:v>4.1888700000000014</c:v>
                </c:pt>
                <c:pt idx="919">
                  <c:v>4.1888700000000014</c:v>
                </c:pt>
                <c:pt idx="920">
                  <c:v>4.1888700000000014</c:v>
                </c:pt>
                <c:pt idx="921">
                  <c:v>4.1888700000000014</c:v>
                </c:pt>
                <c:pt idx="922">
                  <c:v>4.1888700000000014</c:v>
                </c:pt>
                <c:pt idx="923">
                  <c:v>4.1888700000000014</c:v>
                </c:pt>
                <c:pt idx="924">
                  <c:v>4.1888700000000014</c:v>
                </c:pt>
                <c:pt idx="925">
                  <c:v>4.1888700000000014</c:v>
                </c:pt>
                <c:pt idx="926">
                  <c:v>4.1888700000000014</c:v>
                </c:pt>
                <c:pt idx="927">
                  <c:v>4.1888700000000014</c:v>
                </c:pt>
                <c:pt idx="928">
                  <c:v>4.1888700000000014</c:v>
                </c:pt>
                <c:pt idx="929">
                  <c:v>4.1888700000000014</c:v>
                </c:pt>
                <c:pt idx="930">
                  <c:v>4.1888700000000014</c:v>
                </c:pt>
                <c:pt idx="931">
                  <c:v>4.1888700000000014</c:v>
                </c:pt>
                <c:pt idx="932">
                  <c:v>4.1888700000000014</c:v>
                </c:pt>
                <c:pt idx="933">
                  <c:v>4.1888700000000014</c:v>
                </c:pt>
                <c:pt idx="934">
                  <c:v>4.1888700000000014</c:v>
                </c:pt>
                <c:pt idx="935">
                  <c:v>4.1888700000000014</c:v>
                </c:pt>
                <c:pt idx="936">
                  <c:v>4.1888700000000014</c:v>
                </c:pt>
                <c:pt idx="937">
                  <c:v>4.1888700000000014</c:v>
                </c:pt>
                <c:pt idx="938">
                  <c:v>4.1888700000000014</c:v>
                </c:pt>
                <c:pt idx="939">
                  <c:v>4.1888700000000014</c:v>
                </c:pt>
                <c:pt idx="940">
                  <c:v>4.1888700000000014</c:v>
                </c:pt>
                <c:pt idx="941">
                  <c:v>4.1888700000000014</c:v>
                </c:pt>
                <c:pt idx="942">
                  <c:v>4.1888700000000014</c:v>
                </c:pt>
                <c:pt idx="943">
                  <c:v>4.1888700000000014</c:v>
                </c:pt>
                <c:pt idx="944">
                  <c:v>4.1888700000000014</c:v>
                </c:pt>
                <c:pt idx="945">
                  <c:v>4.1888700000000014</c:v>
                </c:pt>
                <c:pt idx="946">
                  <c:v>4.1888700000000014</c:v>
                </c:pt>
                <c:pt idx="947">
                  <c:v>4.1888700000000014</c:v>
                </c:pt>
                <c:pt idx="948">
                  <c:v>4.1888700000000014</c:v>
                </c:pt>
                <c:pt idx="949">
                  <c:v>4.1888700000000014</c:v>
                </c:pt>
                <c:pt idx="950">
                  <c:v>4.1888700000000014</c:v>
                </c:pt>
                <c:pt idx="951">
                  <c:v>4.1888700000000014</c:v>
                </c:pt>
                <c:pt idx="952">
                  <c:v>4.1888700000000014</c:v>
                </c:pt>
                <c:pt idx="953">
                  <c:v>4.1888700000000014</c:v>
                </c:pt>
                <c:pt idx="954">
                  <c:v>4.1888700000000014</c:v>
                </c:pt>
                <c:pt idx="955">
                  <c:v>4.1888700000000014</c:v>
                </c:pt>
                <c:pt idx="956">
                  <c:v>4.1888700000000014</c:v>
                </c:pt>
                <c:pt idx="957">
                  <c:v>4.1888700000000014</c:v>
                </c:pt>
                <c:pt idx="958">
                  <c:v>4.1888700000000014</c:v>
                </c:pt>
                <c:pt idx="959">
                  <c:v>4.1888700000000014</c:v>
                </c:pt>
                <c:pt idx="960">
                  <c:v>4.1888700000000014</c:v>
                </c:pt>
                <c:pt idx="961">
                  <c:v>4.1888700000000014</c:v>
                </c:pt>
                <c:pt idx="962">
                  <c:v>4.1888700000000014</c:v>
                </c:pt>
                <c:pt idx="963">
                  <c:v>4.1888700000000014</c:v>
                </c:pt>
                <c:pt idx="964">
                  <c:v>4.1888700000000014</c:v>
                </c:pt>
                <c:pt idx="965">
                  <c:v>4.1888700000000014</c:v>
                </c:pt>
                <c:pt idx="966">
                  <c:v>4.1888700000000014</c:v>
                </c:pt>
                <c:pt idx="967">
                  <c:v>4.1888700000000014</c:v>
                </c:pt>
                <c:pt idx="968">
                  <c:v>4.1888700000000014</c:v>
                </c:pt>
                <c:pt idx="969">
                  <c:v>4.1888700000000014</c:v>
                </c:pt>
                <c:pt idx="970">
                  <c:v>4.1888700000000014</c:v>
                </c:pt>
                <c:pt idx="971">
                  <c:v>4.1888700000000014</c:v>
                </c:pt>
                <c:pt idx="972">
                  <c:v>4.1888700000000014</c:v>
                </c:pt>
                <c:pt idx="973">
                  <c:v>4.1888700000000014</c:v>
                </c:pt>
                <c:pt idx="974">
                  <c:v>4.1888700000000014</c:v>
                </c:pt>
                <c:pt idx="975">
                  <c:v>4.1888700000000014</c:v>
                </c:pt>
                <c:pt idx="976">
                  <c:v>4.1888700000000014</c:v>
                </c:pt>
                <c:pt idx="977">
                  <c:v>4.1888700000000014</c:v>
                </c:pt>
                <c:pt idx="978">
                  <c:v>4.1888700000000014</c:v>
                </c:pt>
                <c:pt idx="979">
                  <c:v>4.1888700000000014</c:v>
                </c:pt>
                <c:pt idx="980">
                  <c:v>4.1888700000000014</c:v>
                </c:pt>
                <c:pt idx="981">
                  <c:v>4.1888700000000014</c:v>
                </c:pt>
                <c:pt idx="982">
                  <c:v>4.1888700000000014</c:v>
                </c:pt>
                <c:pt idx="983">
                  <c:v>4.1888700000000014</c:v>
                </c:pt>
                <c:pt idx="984">
                  <c:v>4.1888700000000014</c:v>
                </c:pt>
                <c:pt idx="985">
                  <c:v>4.1888700000000014</c:v>
                </c:pt>
                <c:pt idx="986">
                  <c:v>4.1888700000000014</c:v>
                </c:pt>
                <c:pt idx="987">
                  <c:v>4.1888700000000014</c:v>
                </c:pt>
                <c:pt idx="988">
                  <c:v>4.1888700000000014</c:v>
                </c:pt>
                <c:pt idx="989">
                  <c:v>4.1888700000000014</c:v>
                </c:pt>
                <c:pt idx="990">
                  <c:v>4.1888700000000014</c:v>
                </c:pt>
                <c:pt idx="991">
                  <c:v>4.1888700000000014</c:v>
                </c:pt>
                <c:pt idx="992">
                  <c:v>4.1888700000000014</c:v>
                </c:pt>
                <c:pt idx="993">
                  <c:v>4.1888700000000014</c:v>
                </c:pt>
                <c:pt idx="994">
                  <c:v>4.1888700000000014</c:v>
                </c:pt>
                <c:pt idx="995">
                  <c:v>4.1888700000000014</c:v>
                </c:pt>
                <c:pt idx="996">
                  <c:v>4.1888700000000014</c:v>
                </c:pt>
                <c:pt idx="997">
                  <c:v>4.1888700000000014</c:v>
                </c:pt>
                <c:pt idx="998">
                  <c:v>4.1888700000000014</c:v>
                </c:pt>
                <c:pt idx="999">
                  <c:v>4.1888700000000014</c:v>
                </c:pt>
                <c:pt idx="1000">
                  <c:v>4.1888700000000014</c:v>
                </c:pt>
              </c:numCache>
            </c:numRef>
          </c:yVal>
          <c:smooth val="0"/>
          <c:extLst>
            <c:ext xmlns:c16="http://schemas.microsoft.com/office/drawing/2014/chart" uri="{C3380CC4-5D6E-409C-BE32-E72D297353CC}">
              <c16:uniqueId val="{00000001-B98B-46BB-BB51-DAAA2071230C}"/>
            </c:ext>
          </c:extLst>
        </c:ser>
        <c:ser>
          <c:idx val="0"/>
          <c:order val="2"/>
          <c:tx>
            <c:strRef>
              <c:f>Courbes!$B$133</c:f>
              <c:strCache>
                <c:ptCount val="1"/>
                <c:pt idx="0">
                  <c:v>Traînée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Calculs!$W$4:$W$1004</c:f>
              <c:numCache>
                <c:formatCode>0.00</c:formatCode>
                <c:ptCount val="1001"/>
                <c:pt idx="0">
                  <c:v>0</c:v>
                </c:pt>
                <c:pt idx="1">
                  <c:v>7.8996685372903972E-6</c:v>
                </c:pt>
                <c:pt idx="2">
                  <c:v>9.001560054997293E-4</c:v>
                </c:pt>
                <c:pt idx="3">
                  <c:v>5.9730957920019175E-3</c:v>
                </c:pt>
                <c:pt idx="4">
                  <c:v>1.6422628880442176E-2</c:v>
                </c:pt>
                <c:pt idx="5">
                  <c:v>3.2012481104019955E-2</c:v>
                </c:pt>
                <c:pt idx="6">
                  <c:v>5.1211789147850663E-2</c:v>
                </c:pt>
                <c:pt idx="7">
                  <c:v>7.305125343278028E-2</c:v>
                </c:pt>
                <c:pt idx="8">
                  <c:v>9.8107916586771704E-2</c:v>
                </c:pt>
                <c:pt idx="9">
                  <c:v>0.12780223820850206</c:v>
                </c:pt>
                <c:pt idx="10">
                  <c:v>0.16248698342465859</c:v>
                </c:pt>
                <c:pt idx="11">
                  <c:v>0.20207361447931932</c:v>
                </c:pt>
                <c:pt idx="12">
                  <c:v>0.24629167296649646</c:v>
                </c:pt>
                <c:pt idx="13">
                  <c:v>0.29522834584173352</c:v>
                </c:pt>
                <c:pt idx="14">
                  <c:v>0.34897020610049817</c:v>
                </c:pt>
                <c:pt idx="15">
                  <c:v>0.40760315875324421</c:v>
                </c:pt>
                <c:pt idx="16">
                  <c:v>0.47121238647579416</c:v>
                </c:pt>
                <c:pt idx="17">
                  <c:v>0.5398822949828278</c:v>
                </c:pt>
                <c:pt idx="18">
                  <c:v>0.61369645817359408</c:v>
                </c:pt>
                <c:pt idx="19">
                  <c:v>0.69273756310021717</c:v>
                </c:pt>
                <c:pt idx="20">
                  <c:v>0.77708735481019842</c:v>
                </c:pt>
                <c:pt idx="21">
                  <c:v>0.86667789834279596</c:v>
                </c:pt>
                <c:pt idx="22">
                  <c:v>0.96140857214929465</c:v>
                </c:pt>
                <c:pt idx="23">
                  <c:v>1.0613102302656359</c:v>
                </c:pt>
                <c:pt idx="24">
                  <c:v>1.166411841234728</c:v>
                </c:pt>
                <c:pt idx="25">
                  <c:v>1.2767408311272737</c:v>
                </c:pt>
                <c:pt idx="26">
                  <c:v>1.3923230609607309</c:v>
                </c:pt>
                <c:pt idx="27">
                  <c:v>1.5131828050242482</c:v>
                </c:pt>
                <c:pt idx="28">
                  <c:v>1.6393427301360519</c:v>
                </c:pt>
                <c:pt idx="29">
                  <c:v>1.7708238758638575</c:v>
                </c:pt>
                <c:pt idx="30">
                  <c:v>1.9076456357373421</c:v>
                </c:pt>
                <c:pt idx="31">
                  <c:v>2.0493647562084951</c:v>
                </c:pt>
                <c:pt idx="32">
                  <c:v>2.1954709618061012</c:v>
                </c:pt>
                <c:pt idx="33">
                  <c:v>2.3458814941788431</c:v>
                </c:pt>
                <c:pt idx="34">
                  <c:v>2.5005124673684076</c:v>
                </c:pt>
                <c:pt idx="35">
                  <c:v>2.6592789214109791</c:v>
                </c:pt>
                <c:pt idx="36">
                  <c:v>2.8220948763798859</c:v>
                </c:pt>
                <c:pt idx="37">
                  <c:v>2.988873386810651</c:v>
                </c:pt>
                <c:pt idx="38">
                  <c:v>3.1595265964496293</c:v>
                </c:pt>
                <c:pt idx="39">
                  <c:v>3.3339657932673319</c:v>
                </c:pt>
                <c:pt idx="40">
                  <c:v>3.5121014646776492</c:v>
                </c:pt>
                <c:pt idx="41">
                  <c:v>3.6938433529044237</c:v>
                </c:pt>
                <c:pt idx="42">
                  <c:v>3.8791005104371412</c:v>
                </c:pt>
                <c:pt idx="43">
                  <c:v>4.067781355517968</c:v>
                </c:pt>
                <c:pt idx="44">
                  <c:v>4.2597937276028572</c:v>
                </c:pt>
                <c:pt idx="45">
                  <c:v>4.4550449427401677</c:v>
                </c:pt>
                <c:pt idx="46">
                  <c:v>4.6534418488109166</c:v>
                </c:pt>
                <c:pt idx="47">
                  <c:v>4.8548908805756446</c:v>
                </c:pt>
                <c:pt idx="48">
                  <c:v>5.0592981144737301</c:v>
                </c:pt>
                <c:pt idx="49">
                  <c:v>5.266569323122126</c:v>
                </c:pt>
                <c:pt idx="50">
                  <c:v>5.4766100294613231</c:v>
                </c:pt>
                <c:pt idx="51">
                  <c:v>5.6893255604977853</c:v>
                </c:pt>
                <c:pt idx="52">
                  <c:v>5.9046211005930349</c:v>
                </c:pt>
                <c:pt idx="53">
                  <c:v>6.1224017442510688</c:v>
                </c:pt>
                <c:pt idx="54">
                  <c:v>6.3425725483569817</c:v>
                </c:pt>
                <c:pt idx="55">
                  <c:v>6.5650385838211722</c:v>
                </c:pt>
                <c:pt idx="56">
                  <c:v>6.7897049865848613</c:v>
                </c:pt>
                <c:pt idx="57">
                  <c:v>7.0164770079442444</c:v>
                </c:pt>
                <c:pt idx="58">
                  <c:v>7.2452600641521663</c:v>
                </c:pt>
                <c:pt idx="59">
                  <c:v>7.4759597852576229</c:v>
                </c:pt>
                <c:pt idx="60">
                  <c:v>7.7084820631452242</c:v>
                </c:pt>
                <c:pt idx="61">
                  <c:v>7.9427330987383344</c:v>
                </c:pt>
                <c:pt idx="62">
                  <c:v>8.1786194483312524</c:v>
                </c:pt>
                <c:pt idx="63">
                  <c:v>8.4160480690175206</c:v>
                </c:pt>
                <c:pt idx="64">
                  <c:v>8.6549263631832893</c:v>
                </c:pt>
                <c:pt idx="65">
                  <c:v>8.8951622220362605</c:v>
                </c:pt>
                <c:pt idx="66">
                  <c:v>9.1366640681425562</c:v>
                </c:pt>
                <c:pt idx="67">
                  <c:v>9.3793408969457559</c:v>
                </c:pt>
                <c:pt idx="68">
                  <c:v>9.6231023172438324</c:v>
                </c:pt>
                <c:pt idx="69">
                  <c:v>9.8678585906018643</c:v>
                </c:pt>
                <c:pt idx="70">
                  <c:v>10.113520669679872</c:v>
                </c:pt>
                <c:pt idx="71">
                  <c:v>10.360377330236062</c:v>
                </c:pt>
                <c:pt idx="72">
                  <c:v>10.608735027645992</c:v>
                </c:pt>
                <c:pt idx="73">
                  <c:v>10.858530852032187</c:v>
                </c:pt>
                <c:pt idx="74">
                  <c:v>11.109702042521301</c:v>
                </c:pt>
                <c:pt idx="75">
                  <c:v>11.3621860139784</c:v>
                </c:pt>
                <c:pt idx="76">
                  <c:v>11.615920383293693</c:v>
                </c:pt>
                <c:pt idx="77">
                  <c:v>11.870842995206022</c:v>
                </c:pt>
                <c:pt idx="78">
                  <c:v>12.126891947648021</c:v>
                </c:pt>
                <c:pt idx="79">
                  <c:v>12.384005616598607</c:v>
                </c:pt>
                <c:pt idx="80">
                  <c:v>12.642122680429514</c:v>
                </c:pt>
                <c:pt idx="81">
                  <c:v>12.901182143732878</c:v>
                </c:pt>
                <c:pt idx="82">
                  <c:v>13.161123360618115</c:v>
                </c:pt>
                <c:pt idx="83">
                  <c:v>13.421886057466857</c:v>
                </c:pt>
                <c:pt idx="84">
                  <c:v>13.683410355135518</c:v>
                </c:pt>
                <c:pt idx="85">
                  <c:v>13.945636790595932</c:v>
                </c:pt>
                <c:pt idx="86">
                  <c:v>14.208506338005122</c:v>
                </c:pt>
                <c:pt idx="87">
                  <c:v>14.471960429196265</c:v>
                </c:pt>
                <c:pt idx="88">
                  <c:v>14.696394651947406</c:v>
                </c:pt>
                <c:pt idx="89">
                  <c:v>14.841291249536358</c:v>
                </c:pt>
                <c:pt idx="90">
                  <c:v>14.905891673322737</c:v>
                </c:pt>
                <c:pt idx="91">
                  <c:v>14.919494903140379</c:v>
                </c:pt>
                <c:pt idx="92">
                  <c:v>14.911691473042488</c:v>
                </c:pt>
                <c:pt idx="93">
                  <c:v>14.882631747567491</c:v>
                </c:pt>
                <c:pt idx="94">
                  <c:v>14.832512989543844</c:v>
                </c:pt>
                <c:pt idx="95">
                  <c:v>14.761578046287527</c:v>
                </c:pt>
                <c:pt idx="96">
                  <c:v>14.670114038082094</c:v>
                </c:pt>
                <c:pt idx="97">
                  <c:v>14.558451054223228</c:v>
                </c:pt>
                <c:pt idx="98">
                  <c:v>14.437450626501299</c:v>
                </c:pt>
                <c:pt idx="99">
                  <c:v>14.317744337665761</c:v>
                </c:pt>
                <c:pt idx="100">
                  <c:v>14.199313882497458</c:v>
                </c:pt>
                <c:pt idx="101">
                  <c:v>14.082141279661654</c:v>
                </c:pt>
                <c:pt idx="102">
                  <c:v>13.966208864846882</c:v>
                </c:pt>
                <c:pt idx="103">
                  <c:v>13.851499284072988</c:v>
                </c:pt>
                <c:pt idx="104">
                  <c:v>13.737995487163561</c:v>
                </c:pt>
                <c:pt idx="105">
                  <c:v>13.625680721378227</c:v>
                </c:pt>
                <c:pt idx="106">
                  <c:v>13.514538525200344</c:v>
                </c:pt>
                <c:pt idx="107">
                  <c:v>13.404552722275593</c:v>
                </c:pt>
                <c:pt idx="108">
                  <c:v>13.295707415497599</c:v>
                </c:pt>
                <c:pt idx="109">
                  <c:v>13.187986981236213</c:v>
                </c:pt>
                <c:pt idx="110">
                  <c:v>13.081376063704786</c:v>
                </c:pt>
                <c:pt idx="111">
                  <c:v>12.975859569462338</c:v>
                </c:pt>
                <c:pt idx="112">
                  <c:v>12.871422662047298</c:v>
                </c:pt>
                <c:pt idx="113">
                  <c:v>12.76805075673883</c:v>
                </c:pt>
                <c:pt idx="114">
                  <c:v>12.665729515442646</c:v>
                </c:pt>
                <c:pt idx="115">
                  <c:v>12.564444841697673</c:v>
                </c:pt>
                <c:pt idx="116">
                  <c:v>12.464182875800455</c:v>
                </c:pt>
                <c:pt idx="117">
                  <c:v>12.364929990044068</c:v>
                </c:pt>
                <c:pt idx="118">
                  <c:v>12.266672784068538</c:v>
                </c:pt>
                <c:pt idx="119">
                  <c:v>12.16939808031969</c:v>
                </c:pt>
                <c:pt idx="120">
                  <c:v>12.073092919613671</c:v>
                </c:pt>
                <c:pt idx="121">
                  <c:v>11.977744556804209</c:v>
                </c:pt>
                <c:pt idx="122">
                  <c:v>11.88334045655002</c:v>
                </c:pt>
                <c:pt idx="123">
                  <c:v>11.789868289179607</c:v>
                </c:pt>
                <c:pt idx="124">
                  <c:v>11.697315926651012</c:v>
                </c:pt>
                <c:pt idx="125">
                  <c:v>11.605671438603942</c:v>
                </c:pt>
                <c:pt idx="126">
                  <c:v>11.514923088501886</c:v>
                </c:pt>
                <c:pt idx="127">
                  <c:v>11.425059329861959</c:v>
                </c:pt>
                <c:pt idx="128">
                  <c:v>11.336068802570036</c:v>
                </c:pt>
                <c:pt idx="129">
                  <c:v>11.247940329279153</c:v>
                </c:pt>
                <c:pt idx="130">
                  <c:v>11.16066291188894</c:v>
                </c:pt>
                <c:pt idx="131">
                  <c:v>11.074225728103956</c:v>
                </c:pt>
                <c:pt idx="132">
                  <c:v>10.988618128069065</c:v>
                </c:pt>
                <c:pt idx="133">
                  <c:v>10.903829631079732</c:v>
                </c:pt>
                <c:pt idx="134">
                  <c:v>10.819849922365394</c:v>
                </c:pt>
                <c:pt idx="135">
                  <c:v>10.73666884994412</c:v>
                </c:pt>
                <c:pt idx="136">
                  <c:v>10.654276421546591</c:v>
                </c:pt>
                <c:pt idx="137">
                  <c:v>10.572662801607915</c:v>
                </c:pt>
                <c:pt idx="138">
                  <c:v>10.491818308325268</c:v>
                </c:pt>
                <c:pt idx="139">
                  <c:v>10.411733410779973</c:v>
                </c:pt>
                <c:pt idx="140">
                  <c:v>10.332398726122264</c:v>
                </c:pt>
                <c:pt idx="141">
                  <c:v>10.253805016817251</c:v>
                </c:pt>
                <c:pt idx="142">
                  <c:v>10.175943187950477</c:v>
                </c:pt>
                <c:pt idx="143">
                  <c:v>10.098804284591736</c:v>
                </c:pt>
                <c:pt idx="144">
                  <c:v>10.022379489215599</c:v>
                </c:pt>
                <c:pt idx="145">
                  <c:v>9.9466601191772828</c:v>
                </c:pt>
                <c:pt idx="146">
                  <c:v>9.8716376242425365</c:v>
                </c:pt>
                <c:pt idx="147">
                  <c:v>9.7973035841702369</c:v>
                </c:pt>
                <c:pt idx="148">
                  <c:v>9.7236497063463148</c:v>
                </c:pt>
                <c:pt idx="149">
                  <c:v>9.6506678234679217</c:v>
                </c:pt>
                <c:pt idx="150">
                  <c:v>9.5783498912764831</c:v>
                </c:pt>
                <c:pt idx="151">
                  <c:v>9.5066879863385356</c:v>
                </c:pt>
                <c:pt idx="152">
                  <c:v>9.435674303873169</c:v>
                </c:pt>
                <c:pt idx="153">
                  <c:v>9.3653011556249837</c:v>
                </c:pt>
                <c:pt idx="154">
                  <c:v>9.2955609677814586</c:v>
                </c:pt>
                <c:pt idx="155">
                  <c:v>9.2264462789336577</c:v>
                </c:pt>
                <c:pt idx="156">
                  <c:v>9.1579497380792727</c:v>
                </c:pt>
                <c:pt idx="157">
                  <c:v>9.0900641026669931</c:v>
                </c:pt>
                <c:pt idx="158">
                  <c:v>9.0227822366812305</c:v>
                </c:pt>
                <c:pt idx="159">
                  <c:v>8.9560971087662224</c:v>
                </c:pt>
                <c:pt idx="160">
                  <c:v>8.8900017903886379</c:v>
                </c:pt>
                <c:pt idx="161">
                  <c:v>8.8244894540377121</c:v>
                </c:pt>
                <c:pt idx="162">
                  <c:v>8.7595533714621627</c:v>
                </c:pt>
                <c:pt idx="163">
                  <c:v>8.6951869119428444</c:v>
                </c:pt>
                <c:pt idx="164">
                  <c:v>8.6313835406005222</c:v>
                </c:pt>
                <c:pt idx="165">
                  <c:v>8.5681368167377521</c:v>
                </c:pt>
                <c:pt idx="166">
                  <c:v>8.5054403922142789</c:v>
                </c:pt>
                <c:pt idx="167">
                  <c:v>8.4432880098549887</c:v>
                </c:pt>
                <c:pt idx="168">
                  <c:v>8.3816735018898267</c:v>
                </c:pt>
                <c:pt idx="169">
                  <c:v>8.3205907884248536</c:v>
                </c:pt>
                <c:pt idx="170">
                  <c:v>8.2600338759437779</c:v>
                </c:pt>
                <c:pt idx="171">
                  <c:v>8.1999968558392311</c:v>
                </c:pt>
                <c:pt idx="172">
                  <c:v>8.1404739029731878</c:v>
                </c:pt>
                <c:pt idx="173">
                  <c:v>8.081459274265768</c:v>
                </c:pt>
                <c:pt idx="174">
                  <c:v>8.0229473073118616</c:v>
                </c:pt>
                <c:pt idx="175">
                  <c:v>7.9649324190249233</c:v>
                </c:pt>
                <c:pt idx="176">
                  <c:v>7.9074091043073391</c:v>
                </c:pt>
                <c:pt idx="177">
                  <c:v>7.8503719347467369</c:v>
                </c:pt>
                <c:pt idx="178">
                  <c:v>7.7938155573377124</c:v>
                </c:pt>
                <c:pt idx="179">
                  <c:v>7.7377346932283704</c:v>
                </c:pt>
                <c:pt idx="180">
                  <c:v>7.6821241364911357</c:v>
                </c:pt>
                <c:pt idx="181">
                  <c:v>7.6269787529173456</c:v>
                </c:pt>
                <c:pt idx="182">
                  <c:v>7.5722934788349869</c:v>
                </c:pt>
                <c:pt idx="183">
                  <c:v>7.5180633199492295</c:v>
                </c:pt>
                <c:pt idx="184">
                  <c:v>7.4642833502050641</c:v>
                </c:pt>
                <c:pt idx="185">
                  <c:v>7.4109487106717982</c:v>
                </c:pt>
                <c:pt idx="186">
                  <c:v>7.3580546084486711</c:v>
                </c:pt>
                <c:pt idx="187">
                  <c:v>7.3055963155913402</c:v>
                </c:pt>
                <c:pt idx="188">
                  <c:v>7.2535691680586813</c:v>
                </c:pt>
                <c:pt idx="189">
                  <c:v>7.2019685646795013</c:v>
                </c:pt>
                <c:pt idx="190">
                  <c:v>7.1507899661387055</c:v>
                </c:pt>
                <c:pt idx="191">
                  <c:v>7.100028893982512</c:v>
                </c:pt>
                <c:pt idx="192">
                  <c:v>7.0496809296423457</c:v>
                </c:pt>
                <c:pt idx="193">
                  <c:v>6.9997417134769355</c:v>
                </c:pt>
                <c:pt idx="194">
                  <c:v>6.9502069438323026</c:v>
                </c:pt>
                <c:pt idx="195">
                  <c:v>6.9010723761191981</c:v>
                </c:pt>
                <c:pt idx="196">
                  <c:v>6.8523338219076706</c:v>
                </c:pt>
                <c:pt idx="197">
                  <c:v>6.8039871480383418</c:v>
                </c:pt>
                <c:pt idx="198">
                  <c:v>6.7560282757501389</c:v>
                </c:pt>
                <c:pt idx="199">
                  <c:v>6.7084531798240032</c:v>
                </c:pt>
                <c:pt idx="200">
                  <c:v>6.6612578877423294</c:v>
                </c:pt>
                <c:pt idx="201">
                  <c:v>6.2007594067448908</c:v>
                </c:pt>
                <c:pt idx="202">
                  <c:v>5.7758085684221019</c:v>
                </c:pt>
                <c:pt idx="203">
                  <c:v>5.38292777994545</c:v>
                </c:pt>
                <c:pt idx="204">
                  <c:v>5.019061703657874</c:v>
                </c:pt>
                <c:pt idx="205">
                  <c:v>4.6815170965802428</c:v>
                </c:pt>
                <c:pt idx="206">
                  <c:v>4.3679124618299419</c:v>
                </c:pt>
                <c:pt idx="207">
                  <c:v>4.0761357199439008</c:v>
                </c:pt>
                <c:pt idx="208">
                  <c:v>3.8043084689952718</c:v>
                </c:pt>
                <c:pt idx="209">
                  <c:v>3.5507556841347991</c:v>
                </c:pt>
                <c:pt idx="210">
                  <c:v>3.3139799284959466</c:v>
                </c:pt>
                <c:pt idx="211">
                  <c:v>3.0926393222628046</c:v>
                </c:pt>
                <c:pt idx="212">
                  <c:v>2.8855286556330522</c:v>
                </c:pt>
                <c:pt idx="213">
                  <c:v>2.6915631423851281</c:v>
                </c:pt>
                <c:pt idx="214">
                  <c:v>2.5097643998557695</c:v>
                </c:pt>
                <c:pt idx="215">
                  <c:v>2.339248313012527</c:v>
                </c:pt>
                <c:pt idx="216">
                  <c:v>2.1792144985628119</c:v>
                </c:pt>
                <c:pt idx="217">
                  <c:v>2.0289371324677288</c:v>
                </c:pt>
                <c:pt idx="218">
                  <c:v>1.8877569430033225</c:v>
                </c:pt>
                <c:pt idx="219">
                  <c:v>1.7550742033416307</c:v>
                </c:pt>
                <c:pt idx="220">
                  <c:v>1.630342583855295</c:v>
                </c:pt>
                <c:pt idx="221">
                  <c:v>1.5130637460481584</c:v>
                </c:pt>
                <c:pt idx="222">
                  <c:v>1.4027825780280734</c:v>
                </c:pt>
                <c:pt idx="223">
                  <c:v>1.2990829864444731</c:v>
                </c:pt>
                <c:pt idx="224">
                  <c:v>1.2015841723552223</c:v>
                </c:pt>
                <c:pt idx="225">
                  <c:v>1.1099373290025494</c:v>
                </c:pt>
                <c:pt idx="226">
                  <c:v>1.0238227083199407</c:v>
                </c:pt>
                <c:pt idx="227">
                  <c:v>0.94294701044753471</c:v>
                </c:pt>
                <c:pt idx="228">
                  <c:v>0.86704105683590527</c:v>
                </c:pt>
                <c:pt idx="229">
                  <c:v>0.7958577128571741</c:v>
                </c:pt>
                <c:pt idx="230">
                  <c:v>0.729170030373268</c:v>
                </c:pt>
                <c:pt idx="231">
                  <c:v>0.66676958456020119</c:v>
                </c:pt>
                <c:pt idx="232">
                  <c:v>0.6084649825575793</c:v>
                </c:pt>
                <c:pt idx="233">
                  <c:v>0.55408052428712062</c:v>
                </c:pt>
                <c:pt idx="234">
                  <c:v>0.5034549981292491</c:v>
                </c:pt>
                <c:pt idx="235">
                  <c:v>0.45644059611411247</c:v>
                </c:pt>
                <c:pt idx="236">
                  <c:v>0.41290193491065175</c:v>
                </c:pt>
                <c:pt idx="237">
                  <c:v>0.37271517020964218</c:v>
                </c:pt>
                <c:pt idx="238">
                  <c:v>0.33576719310633435</c:v>
                </c:pt>
                <c:pt idx="239">
                  <c:v>0.30195489779492929</c:v>
                </c:pt>
                <c:pt idx="240">
                  <c:v>0.27118451027744955</c:v>
                </c:pt>
                <c:pt idx="241">
                  <c:v>0.24337096783881557</c:v>
                </c:pt>
                <c:pt idx="242">
                  <c:v>0.21843733871647802</c:v>
                </c:pt>
                <c:pt idx="243">
                  <c:v>0.19631427066955015</c:v>
                </c:pt>
                <c:pt idx="244">
                  <c:v>0.17693945603075076</c:v>
                </c:pt>
                <c:pt idx="245">
                  <c:v>0.16025709938063476</c:v>
                </c:pt>
                <c:pt idx="246">
                  <c:v>0.14621737244224861</c:v>
                </c:pt>
                <c:pt idx="247">
                  <c:v>0.13477583962914305</c:v>
                </c:pt>
                <c:pt idx="248">
                  <c:v>0.12589283770644874</c:v>
                </c:pt>
                <c:pt idx="249">
                  <c:v>0.11953279539534284</c:v>
                </c:pt>
                <c:pt idx="250">
                  <c:v>0.11566348469215001</c:v>
                </c:pt>
                <c:pt idx="251">
                  <c:v>0.11425520583535939</c:v>
                </c:pt>
                <c:pt idx="252">
                  <c:v>0.11527992139433983</c:v>
                </c:pt>
                <c:pt idx="253">
                  <c:v>0.1187103689536699</c:v>
                </c:pt>
                <c:pt idx="254">
                  <c:v>0.12451919194992973</c:v>
                </c:pt>
                <c:pt idx="255">
                  <c:v>0.1326781305850499</c:v>
                </c:pt>
                <c:pt idx="256">
                  <c:v>0.14315730842923832</c:v>
                </c:pt>
                <c:pt idx="257">
                  <c:v>0.15592463784423571</c:v>
                </c:pt>
                <c:pt idx="258">
                  <c:v>0.17094535311706788</c:v>
                </c:pt>
                <c:pt idx="259">
                  <c:v>0.18818166811270765</c:v>
                </c:pt>
                <c:pt idx="260">
                  <c:v>0.20759254729001075</c:v>
                </c:pt>
                <c:pt idx="261">
                  <c:v>0.22913357510460916</c:v>
                </c:pt>
                <c:pt idx="262">
                  <c:v>0.25275690809529888</c:v>
                </c:pt>
                <c:pt idx="263">
                  <c:v>0.27841129504643397</c:v>
                </c:pt>
                <c:pt idx="264">
                  <c:v>0.30604215251918637</c:v>
                </c:pt>
                <c:pt idx="265">
                  <c:v>0.33559168510381071</c:v>
                </c:pt>
                <c:pt idx="266">
                  <c:v>0.36699904163104674</c:v>
                </c:pt>
                <c:pt idx="267">
                  <c:v>0.40020050016623121</c:v>
                </c:pt>
                <c:pt idx="268">
                  <c:v>0.43512967587975121</c:v>
                </c:pt>
                <c:pt idx="269">
                  <c:v>0.47171774687823548</c:v>
                </c:pt>
                <c:pt idx="270">
                  <c:v>0.50989369384477023</c:v>
                </c:pt>
                <c:pt idx="271">
                  <c:v>0.54958454992533057</c:v>
                </c:pt>
                <c:pt idx="272">
                  <c:v>0.59071565775709423</c:v>
                </c:pt>
                <c:pt idx="273">
                  <c:v>0.63321093089788372</c:v>
                </c:pt>
                <c:pt idx="274">
                  <c:v>0.67699311721182176</c:v>
                </c:pt>
                <c:pt idx="275">
                  <c:v>0.72198406201449594</c:v>
                </c:pt>
                <c:pt idx="276">
                  <c:v>0.76810496899602432</c:v>
                </c:pt>
                <c:pt idx="277">
                  <c:v>0.81527665713275443</c:v>
                </c:pt>
                <c:pt idx="278">
                  <c:v>0.86341981197504225</c:v>
                </c:pt>
                <c:pt idx="279">
                  <c:v>0.91245522986443039</c:v>
                </c:pt>
                <c:pt idx="280">
                  <c:v>0.96230405379175243</c:v>
                </c:pt>
                <c:pt idx="281">
                  <c:v>1.0128879997600826</c:v>
                </c:pt>
                <c:pt idx="282">
                  <c:v>1.0641295726640549</c:v>
                </c:pt>
                <c:pt idx="283">
                  <c:v>1.1159522708403284</c:v>
                </c:pt>
                <c:pt idx="284">
                  <c:v>1.1682807785828568</c:v>
                </c:pt>
                <c:pt idx="285">
                  <c:v>1.2210411460508721</c:v>
                </c:pt>
                <c:pt idx="286">
                  <c:v>1.2741609561266902</c:v>
                </c:pt>
                <c:pt idx="287">
                  <c:v>1.3275694779040319</c:v>
                </c:pt>
                <c:pt idx="288">
                  <c:v>1.3811978066050732</c:v>
                </c:pt>
                <c:pt idx="289">
                  <c:v>1.4349789898352854</c:v>
                </c:pt>
                <c:pt idx="290">
                  <c:v>1.4888481401888676</c:v>
                </c:pt>
                <c:pt idx="291">
                  <c:v>1.5427425343138137</c:v>
                </c:pt>
                <c:pt idx="292">
                  <c:v>1.5966016986340634</c:v>
                </c:pt>
                <c:pt idx="293">
                  <c:v>1.6503674820065231</c:v>
                </c:pt>
                <c:pt idx="294">
                  <c:v>1.7039841156628621</c:v>
                </c:pt>
                <c:pt idx="295">
                  <c:v>1.7573982608499263</c:v>
                </c:pt>
                <c:pt idx="296">
                  <c:v>1.8105590446382529</c:v>
                </c:pt>
                <c:pt idx="297">
                  <c:v>1.8634180844158288</c:v>
                </c:pt>
                <c:pt idx="298">
                  <c:v>1.9159295016239808</c:v>
                </c:pt>
                <c:pt idx="299">
                  <c:v>1.9680499253244308</c:v>
                </c:pt>
                <c:pt idx="300">
                  <c:v>2.0197384862114682</c:v>
                </c:pt>
                <c:pt idx="301">
                  <c:v>2.0709568017012168</c:v>
                </c:pt>
                <c:pt idx="302">
                  <c:v>2.1216689527415116</c:v>
                </c:pt>
                <c:pt idx="303">
                  <c:v>2.1718414529915284</c:v>
                </c:pt>
                <c:pt idx="304">
                  <c:v>2.2214432110203077</c:v>
                </c:pt>
                <c:pt idx="305">
                  <c:v>2.2704454861683949</c:v>
                </c:pt>
                <c:pt idx="306">
                  <c:v>2.318821838707291</c:v>
                </c:pt>
                <c:pt idx="307">
                  <c:v>2.3665480749179459</c:v>
                </c:pt>
                <c:pt idx="308">
                  <c:v>2.4136021876924185</c:v>
                </c:pt>
                <c:pt idx="309">
                  <c:v>2.459964293242852</c:v>
                </c:pt>
                <c:pt idx="310">
                  <c:v>2.5056165644791486</c:v>
                </c:pt>
                <c:pt idx="311">
                  <c:v>2.5505431615920306</c:v>
                </c:pt>
                <c:pt idx="312">
                  <c:v>2.5947301603516459</c:v>
                </c:pt>
                <c:pt idx="313">
                  <c:v>2.6381654786040634</c:v>
                </c:pt>
                <c:pt idx="314">
                  <c:v>2.6808388014193127</c:v>
                </c:pt>
                <c:pt idx="315">
                  <c:v>2.7227415053151987</c:v>
                </c:pt>
                <c:pt idx="316">
                  <c:v>2.7638665819515396</c:v>
                </c:pt>
                <c:pt idx="317">
                  <c:v>2.8042085616598023</c:v>
                </c:pt>
                <c:pt idx="318">
                  <c:v>2.8437634371436511</c:v>
                </c:pt>
                <c:pt idx="319">
                  <c:v>2.8825285876569779</c:v>
                </c:pt>
                <c:pt idx="320">
                  <c:v>2.9205027039376503</c:v>
                </c:pt>
                <c:pt idx="321">
                  <c:v>2.9576857141476629</c:v>
                </c:pt>
                <c:pt idx="322">
                  <c:v>2.994078711043779</c:v>
                </c:pt>
                <c:pt idx="323">
                  <c:v>3.0296838805772741</c:v>
                </c:pt>
                <c:pt idx="324">
                  <c:v>3.0645044320969408</c:v>
                </c:pt>
                <c:pt idx="325">
                  <c:v>3.0985445303063814</c:v>
                </c:pt>
                <c:pt idx="326">
                  <c:v>3.1318092291047335</c:v>
                </c:pt>
                <c:pt idx="327">
                  <c:v>3.1643044074193067</c:v>
                </c:pt>
                <c:pt idx="328">
                  <c:v>3.1960367071194273</c:v>
                </c:pt>
                <c:pt idx="329">
                  <c:v>3.2270134730827236</c:v>
                </c:pt>
                <c:pt idx="330">
                  <c:v>3.2572426954685314</c:v>
                </c:pt>
                <c:pt idx="331">
                  <c:v>3.2867329542377028</c:v>
                </c:pt>
                <c:pt idx="332">
                  <c:v>3.3154933659440351</c:v>
                </c:pt>
                <c:pt idx="333">
                  <c:v>3.3435335328096847</c:v>
                </c:pt>
                <c:pt idx="334">
                  <c:v>3.3708634940853068</c:v>
                </c:pt>
                <c:pt idx="335">
                  <c:v>3.3974936796851161</c:v>
                </c:pt>
                <c:pt idx="336">
                  <c:v>3.4234348660776588</c:v>
                </c:pt>
                <c:pt idx="337">
                  <c:v>3.4486981344047356</c:v>
                </c:pt>
                <c:pt idx="338">
                  <c:v>3.4732948307934617</c:v>
                </c:pt>
                <c:pt idx="339">
                  <c:v>3.4972365288200713</c:v>
                </c:pt>
                <c:pt idx="340">
                  <c:v>3.5205349940784001</c:v>
                </c:pt>
                <c:pt idx="341">
                  <c:v>3.5432021508012133</c:v>
                </c:pt>
                <c:pt idx="342">
                  <c:v>3.5432241499207078</c:v>
                </c:pt>
                <c:pt idx="343">
                  <c:v>3.5432461484394908</c:v>
                </c:pt>
                <c:pt idx="344">
                  <c:v>3.5432681463575753</c:v>
                </c:pt>
                <c:pt idx="345">
                  <c:v>3.54329014367497</c:v>
                </c:pt>
                <c:pt idx="346">
                  <c:v>3.5433121403916878</c:v>
                </c:pt>
                <c:pt idx="347">
                  <c:v>3.5433341365077431</c:v>
                </c:pt>
                <c:pt idx="348">
                  <c:v>3.5433561320231459</c:v>
                </c:pt>
                <c:pt idx="349">
                  <c:v>3.5433781269379039</c:v>
                </c:pt>
                <c:pt idx="350">
                  <c:v>3.5434001212520339</c:v>
                </c:pt>
                <c:pt idx="351">
                  <c:v>3.5434221149655474</c:v>
                </c:pt>
                <c:pt idx="352">
                  <c:v>3.5434441080784538</c:v>
                </c:pt>
                <c:pt idx="353">
                  <c:v>3.5434661005907637</c:v>
                </c:pt>
                <c:pt idx="354">
                  <c:v>3.5434880925024923</c:v>
                </c:pt>
                <c:pt idx="355">
                  <c:v>3.5435100838136484</c:v>
                </c:pt>
                <c:pt idx="356">
                  <c:v>3.543532074524244</c:v>
                </c:pt>
                <c:pt idx="357">
                  <c:v>3.5435540646342933</c:v>
                </c:pt>
                <c:pt idx="358">
                  <c:v>3.5435760541438031</c:v>
                </c:pt>
                <c:pt idx="359">
                  <c:v>3.5435980430527914</c:v>
                </c:pt>
                <c:pt idx="360">
                  <c:v>3.5436200313612636</c:v>
                </c:pt>
                <c:pt idx="361">
                  <c:v>3.5436420190692357</c:v>
                </c:pt>
                <c:pt idx="362">
                  <c:v>3.5436640061767171</c:v>
                </c:pt>
                <c:pt idx="363">
                  <c:v>3.5436859926837214</c:v>
                </c:pt>
                <c:pt idx="364">
                  <c:v>3.5437079785902581</c:v>
                </c:pt>
                <c:pt idx="365">
                  <c:v>3.54372996389634</c:v>
                </c:pt>
                <c:pt idx="366">
                  <c:v>3.5437519486019786</c:v>
                </c:pt>
                <c:pt idx="367">
                  <c:v>3.5437739327071869</c:v>
                </c:pt>
                <c:pt idx="368">
                  <c:v>3.5437959162119741</c:v>
                </c:pt>
                <c:pt idx="369">
                  <c:v>3.5438178991163527</c:v>
                </c:pt>
                <c:pt idx="370">
                  <c:v>3.5438398814203338</c:v>
                </c:pt>
                <c:pt idx="371">
                  <c:v>3.5438618631239303</c:v>
                </c:pt>
                <c:pt idx="372">
                  <c:v>3.5438838442271554</c:v>
                </c:pt>
                <c:pt idx="373">
                  <c:v>3.5439058247300159</c:v>
                </c:pt>
                <c:pt idx="374">
                  <c:v>3.5439278046325291</c:v>
                </c:pt>
                <c:pt idx="375">
                  <c:v>3.5439497839347021</c:v>
                </c:pt>
                <c:pt idx="376">
                  <c:v>3.5439717626365494</c:v>
                </c:pt>
                <c:pt idx="377">
                  <c:v>3.5439937407380828</c:v>
                </c:pt>
                <c:pt idx="378">
                  <c:v>3.5440157182393115</c:v>
                </c:pt>
                <c:pt idx="379">
                  <c:v>3.5440376951402466</c:v>
                </c:pt>
                <c:pt idx="380">
                  <c:v>3.5440596714409036</c:v>
                </c:pt>
                <c:pt idx="381">
                  <c:v>3.544081647141291</c:v>
                </c:pt>
                <c:pt idx="382">
                  <c:v>3.5441036222414231</c:v>
                </c:pt>
                <c:pt idx="383">
                  <c:v>3.5441255967413081</c:v>
                </c:pt>
                <c:pt idx="384">
                  <c:v>3.5441475706409609</c:v>
                </c:pt>
                <c:pt idx="385">
                  <c:v>3.5441695439403902</c:v>
                </c:pt>
                <c:pt idx="386">
                  <c:v>3.5441915166396125</c:v>
                </c:pt>
                <c:pt idx="387">
                  <c:v>3.5442134887386341</c:v>
                </c:pt>
                <c:pt idx="388">
                  <c:v>3.544235460237469</c:v>
                </c:pt>
                <c:pt idx="389">
                  <c:v>3.5442574311361295</c:v>
                </c:pt>
                <c:pt idx="390">
                  <c:v>3.5442794014346268</c:v>
                </c:pt>
                <c:pt idx="391">
                  <c:v>3.5443013711329696</c:v>
                </c:pt>
                <c:pt idx="392">
                  <c:v>3.5443233402311756</c:v>
                </c:pt>
                <c:pt idx="393">
                  <c:v>3.5443453087292509</c:v>
                </c:pt>
                <c:pt idx="394">
                  <c:v>3.5443672766272085</c:v>
                </c:pt>
                <c:pt idx="395">
                  <c:v>3.544389243925063</c:v>
                </c:pt>
                <c:pt idx="396">
                  <c:v>3.5444112106228234</c:v>
                </c:pt>
                <c:pt idx="397">
                  <c:v>3.5444331767205024</c:v>
                </c:pt>
                <c:pt idx="398">
                  <c:v>3.5444551422181103</c:v>
                </c:pt>
                <c:pt idx="399">
                  <c:v>3.5444771071156596</c:v>
                </c:pt>
                <c:pt idx="400">
                  <c:v>3.5444990714131612</c:v>
                </c:pt>
                <c:pt idx="401">
                  <c:v>3.5445210351106278</c:v>
                </c:pt>
                <c:pt idx="402">
                  <c:v>3.5445429982080707</c:v>
                </c:pt>
                <c:pt idx="403">
                  <c:v>3.544564960705503</c:v>
                </c:pt>
                <c:pt idx="404">
                  <c:v>3.5445869226029334</c:v>
                </c:pt>
                <c:pt idx="405">
                  <c:v>3.5446088839003762</c:v>
                </c:pt>
                <c:pt idx="406">
                  <c:v>3.5446308445978421</c:v>
                </c:pt>
                <c:pt idx="407">
                  <c:v>3.5446528046953412</c:v>
                </c:pt>
                <c:pt idx="408">
                  <c:v>3.5446747641928882</c:v>
                </c:pt>
                <c:pt idx="409">
                  <c:v>3.5446967230904924</c:v>
                </c:pt>
                <c:pt idx="410">
                  <c:v>3.5447186813881659</c:v>
                </c:pt>
                <c:pt idx="411">
                  <c:v>3.5447406390859197</c:v>
                </c:pt>
                <c:pt idx="412">
                  <c:v>3.544762596183769</c:v>
                </c:pt>
                <c:pt idx="413">
                  <c:v>3.5447845526817221</c:v>
                </c:pt>
                <c:pt idx="414">
                  <c:v>3.5448065085797906</c:v>
                </c:pt>
                <c:pt idx="415">
                  <c:v>3.5448284638779866</c:v>
                </c:pt>
                <c:pt idx="416">
                  <c:v>3.5448504185763228</c:v>
                </c:pt>
                <c:pt idx="417">
                  <c:v>3.5448723726748117</c:v>
                </c:pt>
                <c:pt idx="418">
                  <c:v>3.5448943261734618</c:v>
                </c:pt>
                <c:pt idx="419">
                  <c:v>3.5449162790722886</c:v>
                </c:pt>
                <c:pt idx="420">
                  <c:v>3.5449382313712983</c:v>
                </c:pt>
                <c:pt idx="421">
                  <c:v>3.5449601830705073</c:v>
                </c:pt>
                <c:pt idx="422">
                  <c:v>3.5449821341699264</c:v>
                </c:pt>
                <c:pt idx="423">
                  <c:v>3.5450040846695652</c:v>
                </c:pt>
                <c:pt idx="424">
                  <c:v>3.5450260345694375</c:v>
                </c:pt>
                <c:pt idx="425">
                  <c:v>3.5450479838695568</c:v>
                </c:pt>
                <c:pt idx="426">
                  <c:v>3.5450699325699286</c:v>
                </c:pt>
                <c:pt idx="427">
                  <c:v>3.5450918806705696</c:v>
                </c:pt>
                <c:pt idx="428">
                  <c:v>3.5451138281714907</c:v>
                </c:pt>
                <c:pt idx="429">
                  <c:v>3.5451357750727017</c:v>
                </c:pt>
                <c:pt idx="430">
                  <c:v>3.545157721374216</c:v>
                </c:pt>
                <c:pt idx="431">
                  <c:v>3.5451796670760469</c:v>
                </c:pt>
                <c:pt idx="432">
                  <c:v>3.5452016121782011</c:v>
                </c:pt>
                <c:pt idx="433">
                  <c:v>3.5452235566806944</c:v>
                </c:pt>
                <c:pt idx="434">
                  <c:v>3.5452455005835368</c:v>
                </c:pt>
                <c:pt idx="435">
                  <c:v>3.5452674438867398</c:v>
                </c:pt>
                <c:pt idx="436">
                  <c:v>3.5452893865903166</c:v>
                </c:pt>
                <c:pt idx="437">
                  <c:v>3.5453113286942775</c:v>
                </c:pt>
                <c:pt idx="438">
                  <c:v>3.5453332701986344</c:v>
                </c:pt>
                <c:pt idx="439">
                  <c:v>3.545355211103399</c:v>
                </c:pt>
                <c:pt idx="440">
                  <c:v>3.5453771514085828</c:v>
                </c:pt>
                <c:pt idx="441">
                  <c:v>3.5453990911141977</c:v>
                </c:pt>
                <c:pt idx="442">
                  <c:v>3.5454210302202558</c:v>
                </c:pt>
                <c:pt idx="443">
                  <c:v>3.5454429687267677</c:v>
                </c:pt>
                <c:pt idx="444">
                  <c:v>3.5454649066337449</c:v>
                </c:pt>
                <c:pt idx="445">
                  <c:v>3.5454868439412035</c:v>
                </c:pt>
                <c:pt idx="446">
                  <c:v>3.5455087806491479</c:v>
                </c:pt>
                <c:pt idx="447">
                  <c:v>3.545530716757594</c:v>
                </c:pt>
                <c:pt idx="448">
                  <c:v>3.5455526522665544</c:v>
                </c:pt>
                <c:pt idx="449">
                  <c:v>3.5455745871760365</c:v>
                </c:pt>
                <c:pt idx="450">
                  <c:v>3.5455965214860568</c:v>
                </c:pt>
                <c:pt idx="451">
                  <c:v>3.5456184551966241</c:v>
                </c:pt>
                <c:pt idx="452">
                  <c:v>3.5456403883077505</c:v>
                </c:pt>
                <c:pt idx="453">
                  <c:v>3.5456623208194475</c:v>
                </c:pt>
                <c:pt idx="454">
                  <c:v>3.5456842527317285</c:v>
                </c:pt>
                <c:pt idx="455">
                  <c:v>3.5457061840446022</c:v>
                </c:pt>
                <c:pt idx="456">
                  <c:v>3.545728114758083</c:v>
                </c:pt>
                <c:pt idx="457">
                  <c:v>3.5457500448721815</c:v>
                </c:pt>
                <c:pt idx="458">
                  <c:v>3.5457719743869083</c:v>
                </c:pt>
                <c:pt idx="459">
                  <c:v>3.5457939033022785</c:v>
                </c:pt>
                <c:pt idx="460">
                  <c:v>3.5458158316182988</c:v>
                </c:pt>
                <c:pt idx="461">
                  <c:v>3.5458377593349835</c:v>
                </c:pt>
                <c:pt idx="462">
                  <c:v>3.5458596864523457</c:v>
                </c:pt>
                <c:pt idx="463">
                  <c:v>3.5458816129703954</c:v>
                </c:pt>
                <c:pt idx="464">
                  <c:v>3.545903538889144</c:v>
                </c:pt>
                <c:pt idx="465">
                  <c:v>3.545925464208604</c:v>
                </c:pt>
                <c:pt idx="466">
                  <c:v>3.5459473889287869</c:v>
                </c:pt>
                <c:pt idx="467">
                  <c:v>3.5459693130497043</c:v>
                </c:pt>
                <c:pt idx="468">
                  <c:v>3.5459912365713655</c:v>
                </c:pt>
                <c:pt idx="469">
                  <c:v>3.546013159493786</c:v>
                </c:pt>
                <c:pt idx="470">
                  <c:v>3.5460350818169761</c:v>
                </c:pt>
                <c:pt idx="471">
                  <c:v>3.5460570035409451</c:v>
                </c:pt>
                <c:pt idx="472">
                  <c:v>3.5460789246657103</c:v>
                </c:pt>
                <c:pt idx="473">
                  <c:v>3.546100845191277</c:v>
                </c:pt>
                <c:pt idx="474">
                  <c:v>3.546122765117659</c:v>
                </c:pt>
                <c:pt idx="475">
                  <c:v>3.5461446844448696</c:v>
                </c:pt>
                <c:pt idx="476">
                  <c:v>3.5461666031729204</c:v>
                </c:pt>
                <c:pt idx="477">
                  <c:v>3.5461885213018225</c:v>
                </c:pt>
                <c:pt idx="478">
                  <c:v>3.5462104388315865</c:v>
                </c:pt>
                <c:pt idx="479">
                  <c:v>3.546232355762224</c:v>
                </c:pt>
                <c:pt idx="480">
                  <c:v>3.5462542720937478</c:v>
                </c:pt>
                <c:pt idx="481">
                  <c:v>3.5462761878261686</c:v>
                </c:pt>
                <c:pt idx="482">
                  <c:v>3.5462981029594984</c:v>
                </c:pt>
                <c:pt idx="483">
                  <c:v>3.5463200174937519</c:v>
                </c:pt>
                <c:pt idx="484">
                  <c:v>3.5463419314289353</c:v>
                </c:pt>
                <c:pt idx="485">
                  <c:v>3.5463638447650645</c:v>
                </c:pt>
                <c:pt idx="486">
                  <c:v>3.5463857575021489</c:v>
                </c:pt>
                <c:pt idx="487">
                  <c:v>3.5464076696402014</c:v>
                </c:pt>
                <c:pt idx="488">
                  <c:v>3.5464295811792317</c:v>
                </c:pt>
                <c:pt idx="489">
                  <c:v>3.5464514921192549</c:v>
                </c:pt>
                <c:pt idx="490">
                  <c:v>3.5464734024602804</c:v>
                </c:pt>
                <c:pt idx="491">
                  <c:v>3.5464953122023188</c:v>
                </c:pt>
                <c:pt idx="492">
                  <c:v>3.5465172213453857</c:v>
                </c:pt>
                <c:pt idx="493">
                  <c:v>3.5465391298894868</c:v>
                </c:pt>
                <c:pt idx="494">
                  <c:v>3.5465610378346399</c:v>
                </c:pt>
                <c:pt idx="495">
                  <c:v>3.5465829451808504</c:v>
                </c:pt>
                <c:pt idx="496">
                  <c:v>3.5466048519281359</c:v>
                </c:pt>
                <c:pt idx="497">
                  <c:v>3.546626758076505</c:v>
                </c:pt>
                <c:pt idx="498">
                  <c:v>3.5466486636259726</c:v>
                </c:pt>
                <c:pt idx="499">
                  <c:v>3.5466705685765443</c:v>
                </c:pt>
                <c:pt idx="500">
                  <c:v>3.5466924729282359</c:v>
                </c:pt>
                <c:pt idx="501">
                  <c:v>3.5467143766810603</c:v>
                </c:pt>
                <c:pt idx="502">
                  <c:v>3.546736279835025</c:v>
                </c:pt>
                <c:pt idx="503">
                  <c:v>3.5467581823901448</c:v>
                </c:pt>
                <c:pt idx="504">
                  <c:v>3.5467800843464303</c:v>
                </c:pt>
                <c:pt idx="505">
                  <c:v>3.5468019857038953</c:v>
                </c:pt>
                <c:pt idx="506">
                  <c:v>3.546823886462549</c:v>
                </c:pt>
                <c:pt idx="507">
                  <c:v>3.5468457866224017</c:v>
                </c:pt>
                <c:pt idx="508">
                  <c:v>3.546867686183468</c:v>
                </c:pt>
                <c:pt idx="509">
                  <c:v>3.54688958514576</c:v>
                </c:pt>
                <c:pt idx="510">
                  <c:v>3.5469114835092843</c:v>
                </c:pt>
                <c:pt idx="511">
                  <c:v>3.5469333812740591</c:v>
                </c:pt>
                <c:pt idx="512">
                  <c:v>3.5469552784400924</c:v>
                </c:pt>
                <c:pt idx="513">
                  <c:v>3.5469771750073984</c:v>
                </c:pt>
                <c:pt idx="514">
                  <c:v>3.5469990709759829</c:v>
                </c:pt>
                <c:pt idx="515">
                  <c:v>3.5470209663458654</c:v>
                </c:pt>
                <c:pt idx="516">
                  <c:v>3.5470428611170521</c:v>
                </c:pt>
                <c:pt idx="517">
                  <c:v>3.5470647552895564</c:v>
                </c:pt>
                <c:pt idx="518">
                  <c:v>3.5470866488633912</c:v>
                </c:pt>
                <c:pt idx="519">
                  <c:v>3.5471085418385662</c:v>
                </c:pt>
                <c:pt idx="520">
                  <c:v>3.5471304342150951</c:v>
                </c:pt>
                <c:pt idx="521">
                  <c:v>3.5471523259929847</c:v>
                </c:pt>
                <c:pt idx="522">
                  <c:v>3.5471742171722522</c:v>
                </c:pt>
                <c:pt idx="523">
                  <c:v>3.5471961077529079</c:v>
                </c:pt>
                <c:pt idx="524">
                  <c:v>3.5472179977349625</c:v>
                </c:pt>
                <c:pt idx="525">
                  <c:v>3.5472398871184261</c:v>
                </c:pt>
                <c:pt idx="526">
                  <c:v>3.5472617759033125</c:v>
                </c:pt>
                <c:pt idx="527">
                  <c:v>3.5472836640896359</c:v>
                </c:pt>
                <c:pt idx="528">
                  <c:v>3.5473055516774044</c:v>
                </c:pt>
                <c:pt idx="529">
                  <c:v>3.5473274386666303</c:v>
                </c:pt>
                <c:pt idx="530">
                  <c:v>3.5473493250573251</c:v>
                </c:pt>
                <c:pt idx="531">
                  <c:v>3.5473712108495015</c:v>
                </c:pt>
                <c:pt idx="532">
                  <c:v>3.5473930960431685</c:v>
                </c:pt>
                <c:pt idx="533">
                  <c:v>3.547414980638341</c:v>
                </c:pt>
                <c:pt idx="534">
                  <c:v>3.5474368646350309</c:v>
                </c:pt>
                <c:pt idx="535">
                  <c:v>3.5474587480332471</c:v>
                </c:pt>
                <c:pt idx="536">
                  <c:v>3.5474806308330025</c:v>
                </c:pt>
                <c:pt idx="537">
                  <c:v>3.5475025130343081</c:v>
                </c:pt>
                <c:pt idx="538">
                  <c:v>3.5475243946371786</c:v>
                </c:pt>
                <c:pt idx="539">
                  <c:v>3.5475462756416221</c:v>
                </c:pt>
                <c:pt idx="540">
                  <c:v>3.54756815604765</c:v>
                </c:pt>
                <c:pt idx="541">
                  <c:v>3.5475900358552774</c:v>
                </c:pt>
                <c:pt idx="542">
                  <c:v>3.5476119150645142</c:v>
                </c:pt>
                <c:pt idx="543">
                  <c:v>3.5476337936753719</c:v>
                </c:pt>
                <c:pt idx="544">
                  <c:v>3.547655671687862</c:v>
                </c:pt>
                <c:pt idx="545">
                  <c:v>3.5476775491019961</c:v>
                </c:pt>
                <c:pt idx="546">
                  <c:v>3.5476994259177865</c:v>
                </c:pt>
                <c:pt idx="547">
                  <c:v>3.5477213021352432</c:v>
                </c:pt>
                <c:pt idx="548">
                  <c:v>3.5477431777543811</c:v>
                </c:pt>
                <c:pt idx="549">
                  <c:v>3.5477650527752091</c:v>
                </c:pt>
                <c:pt idx="550">
                  <c:v>3.5477869271977398</c:v>
                </c:pt>
                <c:pt idx="551">
                  <c:v>3.547808801021985</c:v>
                </c:pt>
                <c:pt idx="552">
                  <c:v>3.5478306742479573</c:v>
                </c:pt>
                <c:pt idx="553">
                  <c:v>3.5478525468756672</c:v>
                </c:pt>
                <c:pt idx="554">
                  <c:v>3.5478744189051232</c:v>
                </c:pt>
                <c:pt idx="555">
                  <c:v>3.5478962903363431</c:v>
                </c:pt>
                <c:pt idx="556">
                  <c:v>3.547918161169334</c:v>
                </c:pt>
                <c:pt idx="557">
                  <c:v>3.547940031404111</c:v>
                </c:pt>
                <c:pt idx="558">
                  <c:v>3.5479619010406833</c:v>
                </c:pt>
                <c:pt idx="559">
                  <c:v>3.5479837700790626</c:v>
                </c:pt>
                <c:pt idx="560">
                  <c:v>3.5480056385192631</c:v>
                </c:pt>
                <c:pt idx="561">
                  <c:v>3.5480275063612927</c:v>
                </c:pt>
                <c:pt idx="562">
                  <c:v>3.5480493736051657</c:v>
                </c:pt>
                <c:pt idx="563">
                  <c:v>3.5480712402508923</c:v>
                </c:pt>
                <c:pt idx="564">
                  <c:v>3.5480931062984853</c:v>
                </c:pt>
                <c:pt idx="565">
                  <c:v>3.5481149717479568</c:v>
                </c:pt>
                <c:pt idx="566">
                  <c:v>3.5481368365993182</c:v>
                </c:pt>
                <c:pt idx="567">
                  <c:v>3.5481587008525781</c:v>
                </c:pt>
                <c:pt idx="568">
                  <c:v>3.5481805645077542</c:v>
                </c:pt>
                <c:pt idx="569">
                  <c:v>3.5482024275648527</c:v>
                </c:pt>
                <c:pt idx="570">
                  <c:v>3.5482242900238861</c:v>
                </c:pt>
                <c:pt idx="571">
                  <c:v>3.5482461518848694</c:v>
                </c:pt>
                <c:pt idx="572">
                  <c:v>3.548268013147811</c:v>
                </c:pt>
                <c:pt idx="573">
                  <c:v>3.548289873812724</c:v>
                </c:pt>
                <c:pt idx="574">
                  <c:v>3.5483117338796202</c:v>
                </c:pt>
                <c:pt idx="575">
                  <c:v>3.5483335933485098</c:v>
                </c:pt>
                <c:pt idx="576">
                  <c:v>3.5483554522194072</c:v>
                </c:pt>
                <c:pt idx="577">
                  <c:v>3.5483773104923215</c:v>
                </c:pt>
                <c:pt idx="578">
                  <c:v>3.5483991681672649</c:v>
                </c:pt>
                <c:pt idx="579">
                  <c:v>3.5484210252442496</c:v>
                </c:pt>
                <c:pt idx="580">
                  <c:v>3.5484428817232865</c:v>
                </c:pt>
                <c:pt idx="581">
                  <c:v>3.5484647376043874</c:v>
                </c:pt>
                <c:pt idx="582">
                  <c:v>3.5484865928875675</c:v>
                </c:pt>
                <c:pt idx="583">
                  <c:v>3.5485084475728321</c:v>
                </c:pt>
                <c:pt idx="584">
                  <c:v>3.5485303016601977</c:v>
                </c:pt>
                <c:pt idx="585">
                  <c:v>3.5485521551496744</c:v>
                </c:pt>
                <c:pt idx="586">
                  <c:v>3.5485740080412738</c:v>
                </c:pt>
                <c:pt idx="587">
                  <c:v>3.5485958603350065</c:v>
                </c:pt>
                <c:pt idx="588">
                  <c:v>3.5486177120308855</c:v>
                </c:pt>
                <c:pt idx="589">
                  <c:v>3.548639563128924</c:v>
                </c:pt>
                <c:pt idx="590">
                  <c:v>3.5486614136291315</c:v>
                </c:pt>
                <c:pt idx="591">
                  <c:v>3.5486832635315189</c:v>
                </c:pt>
                <c:pt idx="592">
                  <c:v>3.5487051128361</c:v>
                </c:pt>
                <c:pt idx="593">
                  <c:v>3.548726961542886</c:v>
                </c:pt>
                <c:pt idx="594">
                  <c:v>3.5487488096518871</c:v>
                </c:pt>
                <c:pt idx="595">
                  <c:v>3.548770657163117</c:v>
                </c:pt>
                <c:pt idx="596">
                  <c:v>3.5487925040765864</c:v>
                </c:pt>
                <c:pt idx="597">
                  <c:v>3.5488143503923073</c:v>
                </c:pt>
                <c:pt idx="598">
                  <c:v>3.5488361961102917</c:v>
                </c:pt>
                <c:pt idx="599">
                  <c:v>3.5488580412305502</c:v>
                </c:pt>
                <c:pt idx="600">
                  <c:v>3.5488798857530943</c:v>
                </c:pt>
                <c:pt idx="601">
                  <c:v>3.548901729677937</c:v>
                </c:pt>
                <c:pt idx="602">
                  <c:v>3.5489235730050903</c:v>
                </c:pt>
                <c:pt idx="603">
                  <c:v>3.5489454157345626</c:v>
                </c:pt>
                <c:pt idx="604">
                  <c:v>3.5489672578663689</c:v>
                </c:pt>
                <c:pt idx="605">
                  <c:v>3.5489890994005209</c:v>
                </c:pt>
                <c:pt idx="606">
                  <c:v>3.5490109403370274</c:v>
                </c:pt>
                <c:pt idx="607">
                  <c:v>3.5490327806759034</c:v>
                </c:pt>
                <c:pt idx="608">
                  <c:v>3.5490546204171589</c:v>
                </c:pt>
                <c:pt idx="609">
                  <c:v>3.549076459560804</c:v>
                </c:pt>
                <c:pt idx="610">
                  <c:v>3.5490982981068533</c:v>
                </c:pt>
                <c:pt idx="611">
                  <c:v>3.5491201360553171</c:v>
                </c:pt>
                <c:pt idx="612">
                  <c:v>3.5491419734062077</c:v>
                </c:pt>
                <c:pt idx="613">
                  <c:v>3.5491638101595364</c:v>
                </c:pt>
                <c:pt idx="614">
                  <c:v>3.5491856463153146</c:v>
                </c:pt>
                <c:pt idx="615">
                  <c:v>3.5492074818735535</c:v>
                </c:pt>
                <c:pt idx="616">
                  <c:v>3.5492293168342655</c:v>
                </c:pt>
                <c:pt idx="617">
                  <c:v>3.5492511511974616</c:v>
                </c:pt>
                <c:pt idx="618">
                  <c:v>3.5492729849631552</c:v>
                </c:pt>
                <c:pt idx="619">
                  <c:v>3.5492948181313557</c:v>
                </c:pt>
                <c:pt idx="620">
                  <c:v>3.5493166507020777</c:v>
                </c:pt>
                <c:pt idx="621">
                  <c:v>3.5493384826753318</c:v>
                </c:pt>
                <c:pt idx="622">
                  <c:v>3.5493603140511261</c:v>
                </c:pt>
                <c:pt idx="623">
                  <c:v>3.5493821448294787</c:v>
                </c:pt>
                <c:pt idx="624">
                  <c:v>3.549403975010395</c:v>
                </c:pt>
                <c:pt idx="625">
                  <c:v>3.5494258045938891</c:v>
                </c:pt>
                <c:pt idx="626">
                  <c:v>3.5494476335799754</c:v>
                </c:pt>
                <c:pt idx="627">
                  <c:v>3.5494694619686618</c:v>
                </c:pt>
                <c:pt idx="628">
                  <c:v>3.549491289759962</c:v>
                </c:pt>
                <c:pt idx="629">
                  <c:v>3.5495131169538867</c:v>
                </c:pt>
                <c:pt idx="630">
                  <c:v>3.5495349435504475</c:v>
                </c:pt>
                <c:pt idx="631">
                  <c:v>3.5495567695496564</c:v>
                </c:pt>
                <c:pt idx="632">
                  <c:v>3.5495785949515262</c:v>
                </c:pt>
                <c:pt idx="633">
                  <c:v>3.5496004197560675</c:v>
                </c:pt>
                <c:pt idx="634">
                  <c:v>3.5496222439632903</c:v>
                </c:pt>
                <c:pt idx="635">
                  <c:v>3.549644067573209</c:v>
                </c:pt>
                <c:pt idx="636">
                  <c:v>3.5496658905858358</c:v>
                </c:pt>
                <c:pt idx="637">
                  <c:v>3.5496877130011795</c:v>
                </c:pt>
                <c:pt idx="638">
                  <c:v>3.5497095348192516</c:v>
                </c:pt>
                <c:pt idx="639">
                  <c:v>3.5497313560400667</c:v>
                </c:pt>
                <c:pt idx="640">
                  <c:v>3.5497531766636352</c:v>
                </c:pt>
                <c:pt idx="641">
                  <c:v>3.5497749966899681</c:v>
                </c:pt>
                <c:pt idx="642">
                  <c:v>3.5497968161190796</c:v>
                </c:pt>
                <c:pt idx="643">
                  <c:v>3.5498186349509773</c:v>
                </c:pt>
                <c:pt idx="644">
                  <c:v>3.5498404531856753</c:v>
                </c:pt>
                <c:pt idx="645">
                  <c:v>3.5498622708231862</c:v>
                </c:pt>
                <c:pt idx="646">
                  <c:v>3.5498840878635178</c:v>
                </c:pt>
                <c:pt idx="647">
                  <c:v>3.5499059043066876</c:v>
                </c:pt>
                <c:pt idx="648">
                  <c:v>3.5499277201527026</c:v>
                </c:pt>
                <c:pt idx="649">
                  <c:v>3.5499495354015775</c:v>
                </c:pt>
                <c:pt idx="650">
                  <c:v>3.5499713500533203</c:v>
                </c:pt>
                <c:pt idx="651">
                  <c:v>3.5499931641079447</c:v>
                </c:pt>
                <c:pt idx="652">
                  <c:v>3.550014977565465</c:v>
                </c:pt>
                <c:pt idx="653">
                  <c:v>3.5500367904258874</c:v>
                </c:pt>
                <c:pt idx="654">
                  <c:v>3.5500586026892282</c:v>
                </c:pt>
                <c:pt idx="655">
                  <c:v>3.5500804143554974</c:v>
                </c:pt>
                <c:pt idx="656">
                  <c:v>3.5501022254247068</c:v>
                </c:pt>
                <c:pt idx="657">
                  <c:v>3.5501240358968666</c:v>
                </c:pt>
                <c:pt idx="658">
                  <c:v>3.5501458457719903</c:v>
                </c:pt>
                <c:pt idx="659">
                  <c:v>3.5501676550500902</c:v>
                </c:pt>
                <c:pt idx="660">
                  <c:v>3.5501894637311766</c:v>
                </c:pt>
                <c:pt idx="661">
                  <c:v>3.5502112718152627</c:v>
                </c:pt>
                <c:pt idx="662">
                  <c:v>3.5502330793023558</c:v>
                </c:pt>
                <c:pt idx="663">
                  <c:v>3.5502548861924748</c:v>
                </c:pt>
                <c:pt idx="664">
                  <c:v>3.5502766924856251</c:v>
                </c:pt>
                <c:pt idx="665">
                  <c:v>3.5502984981818213</c:v>
                </c:pt>
                <c:pt idx="666">
                  <c:v>3.5503203032810737</c:v>
                </c:pt>
                <c:pt idx="667">
                  <c:v>3.5503421077833943</c:v>
                </c:pt>
                <c:pt idx="668">
                  <c:v>3.5503639116887968</c:v>
                </c:pt>
                <c:pt idx="669">
                  <c:v>3.5503857149972902</c:v>
                </c:pt>
                <c:pt idx="670">
                  <c:v>3.5504075177088867</c:v>
                </c:pt>
                <c:pt idx="671">
                  <c:v>3.550429319823599</c:v>
                </c:pt>
                <c:pt idx="672">
                  <c:v>3.5504511213414376</c:v>
                </c:pt>
                <c:pt idx="673">
                  <c:v>3.5504729222624154</c:v>
                </c:pt>
                <c:pt idx="674">
                  <c:v>3.5504947225865449</c:v>
                </c:pt>
                <c:pt idx="675">
                  <c:v>3.550516522313834</c:v>
                </c:pt>
                <c:pt idx="676">
                  <c:v>3.5505383214442978</c:v>
                </c:pt>
                <c:pt idx="677">
                  <c:v>3.550560119977948</c:v>
                </c:pt>
                <c:pt idx="678">
                  <c:v>3.5505819179147942</c:v>
                </c:pt>
                <c:pt idx="679">
                  <c:v>3.5506037152548506</c:v>
                </c:pt>
                <c:pt idx="680">
                  <c:v>3.5506255119981249</c:v>
                </c:pt>
                <c:pt idx="681">
                  <c:v>3.5506473081446335</c:v>
                </c:pt>
                <c:pt idx="682">
                  <c:v>3.550669103694386</c:v>
                </c:pt>
                <c:pt idx="683">
                  <c:v>3.550690898647392</c:v>
                </c:pt>
                <c:pt idx="684">
                  <c:v>3.5507126930036672</c:v>
                </c:pt>
                <c:pt idx="685">
                  <c:v>3.5507344867632202</c:v>
                </c:pt>
                <c:pt idx="686">
                  <c:v>3.5507562799260635</c:v>
                </c:pt>
                <c:pt idx="687">
                  <c:v>3.5507780724922098</c:v>
                </c:pt>
                <c:pt idx="688">
                  <c:v>3.5507998644616707</c:v>
                </c:pt>
                <c:pt idx="689">
                  <c:v>3.5508216558344565</c:v>
                </c:pt>
                <c:pt idx="690">
                  <c:v>3.5508434466105769</c:v>
                </c:pt>
                <c:pt idx="691">
                  <c:v>3.5508652367900488</c:v>
                </c:pt>
                <c:pt idx="692">
                  <c:v>3.5508870263728816</c:v>
                </c:pt>
                <c:pt idx="693">
                  <c:v>3.550908815359084</c:v>
                </c:pt>
                <c:pt idx="694">
                  <c:v>3.5509306037486748</c:v>
                </c:pt>
                <c:pt idx="695">
                  <c:v>3.5509523915416561</c:v>
                </c:pt>
                <c:pt idx="696">
                  <c:v>3.550974178738048</c:v>
                </c:pt>
                <c:pt idx="697">
                  <c:v>3.550995965337858</c:v>
                </c:pt>
                <c:pt idx="698">
                  <c:v>3.5510177513410994</c:v>
                </c:pt>
                <c:pt idx="699">
                  <c:v>3.5510395367477838</c:v>
                </c:pt>
                <c:pt idx="700">
                  <c:v>3.551061321557921</c:v>
                </c:pt>
                <c:pt idx="701">
                  <c:v>3.5510831057715238</c:v>
                </c:pt>
                <c:pt idx="702">
                  <c:v>3.5511048893886024</c:v>
                </c:pt>
                <c:pt idx="703">
                  <c:v>3.5511266724091732</c:v>
                </c:pt>
                <c:pt idx="704">
                  <c:v>3.5511484548332439</c:v>
                </c:pt>
                <c:pt idx="705">
                  <c:v>3.5511702366608269</c:v>
                </c:pt>
                <c:pt idx="706">
                  <c:v>3.5511920178919336</c:v>
                </c:pt>
                <c:pt idx="707">
                  <c:v>3.5512137985265748</c:v>
                </c:pt>
                <c:pt idx="708">
                  <c:v>3.5512355785647669</c:v>
                </c:pt>
                <c:pt idx="709">
                  <c:v>3.5512573580065148</c:v>
                </c:pt>
                <c:pt idx="710">
                  <c:v>3.5512791368518366</c:v>
                </c:pt>
                <c:pt idx="711">
                  <c:v>3.5513009151007378</c:v>
                </c:pt>
                <c:pt idx="712">
                  <c:v>3.5513226927532364</c:v>
                </c:pt>
                <c:pt idx="713">
                  <c:v>3.5513444698093384</c:v>
                </c:pt>
                <c:pt idx="714">
                  <c:v>3.5513662462690592</c:v>
                </c:pt>
                <c:pt idx="715">
                  <c:v>3.5513880221324094</c:v>
                </c:pt>
                <c:pt idx="716">
                  <c:v>3.5514097973994003</c:v>
                </c:pt>
                <c:pt idx="717">
                  <c:v>3.5514315720700438</c:v>
                </c:pt>
                <c:pt idx="718">
                  <c:v>3.5514533461443505</c:v>
                </c:pt>
                <c:pt idx="719">
                  <c:v>3.5514751196223333</c:v>
                </c:pt>
                <c:pt idx="720">
                  <c:v>3.5514968925040051</c:v>
                </c:pt>
                <c:pt idx="721">
                  <c:v>3.5515186647893744</c:v>
                </c:pt>
                <c:pt idx="722">
                  <c:v>3.5515404364784584</c:v>
                </c:pt>
                <c:pt idx="723">
                  <c:v>3.5515622075712625</c:v>
                </c:pt>
                <c:pt idx="724">
                  <c:v>3.5515839780678014</c:v>
                </c:pt>
                <c:pt idx="725">
                  <c:v>3.5516057479680851</c:v>
                </c:pt>
                <c:pt idx="726">
                  <c:v>3.5516275172721286</c:v>
                </c:pt>
                <c:pt idx="727">
                  <c:v>3.5516492859799405</c:v>
                </c:pt>
                <c:pt idx="728">
                  <c:v>3.5516710540915337</c:v>
                </c:pt>
                <c:pt idx="729">
                  <c:v>3.5516928216069199</c:v>
                </c:pt>
                <c:pt idx="730">
                  <c:v>3.5517145885261105</c:v>
                </c:pt>
                <c:pt idx="731">
                  <c:v>3.5517363548491194</c:v>
                </c:pt>
                <c:pt idx="732">
                  <c:v>3.5517581205759532</c:v>
                </c:pt>
                <c:pt idx="733">
                  <c:v>3.5517798857066301</c:v>
                </c:pt>
                <c:pt idx="734">
                  <c:v>3.5518016502411549</c:v>
                </c:pt>
                <c:pt idx="735">
                  <c:v>3.5518234141795442</c:v>
                </c:pt>
                <c:pt idx="736">
                  <c:v>3.5518451775218081</c:v>
                </c:pt>
                <c:pt idx="737">
                  <c:v>3.5518669402679581</c:v>
                </c:pt>
                <c:pt idx="738">
                  <c:v>3.5518887024180064</c:v>
                </c:pt>
                <c:pt idx="739">
                  <c:v>3.551910463971963</c:v>
                </c:pt>
                <c:pt idx="740">
                  <c:v>3.5519322249298404</c:v>
                </c:pt>
                <c:pt idx="741">
                  <c:v>3.5519539852916533</c:v>
                </c:pt>
                <c:pt idx="742">
                  <c:v>3.5519757450574101</c:v>
                </c:pt>
                <c:pt idx="743">
                  <c:v>3.5519975042271232</c:v>
                </c:pt>
                <c:pt idx="744">
                  <c:v>3.5520192628008038</c:v>
                </c:pt>
                <c:pt idx="745">
                  <c:v>3.5520410207784652</c:v>
                </c:pt>
                <c:pt idx="746">
                  <c:v>3.552062778160118</c:v>
                </c:pt>
                <c:pt idx="747">
                  <c:v>3.5520845349457728</c:v>
                </c:pt>
                <c:pt idx="748">
                  <c:v>3.5521062911354431</c:v>
                </c:pt>
                <c:pt idx="749">
                  <c:v>3.5521280467291398</c:v>
                </c:pt>
                <c:pt idx="750">
                  <c:v>3.5521498017268756</c:v>
                </c:pt>
                <c:pt idx="751">
                  <c:v>3.55217155612866</c:v>
                </c:pt>
                <c:pt idx="752">
                  <c:v>3.5521933099345069</c:v>
                </c:pt>
                <c:pt idx="753">
                  <c:v>3.552215063144426</c:v>
                </c:pt>
                <c:pt idx="754">
                  <c:v>3.552236815758433</c:v>
                </c:pt>
                <c:pt idx="755">
                  <c:v>3.5522585677765335</c:v>
                </c:pt>
                <c:pt idx="756">
                  <c:v>3.5522803191987418</c:v>
                </c:pt>
                <c:pt idx="757">
                  <c:v>3.552302070025072</c:v>
                </c:pt>
                <c:pt idx="758">
                  <c:v>3.5523238202555341</c:v>
                </c:pt>
                <c:pt idx="759">
                  <c:v>3.5523455698901385</c:v>
                </c:pt>
                <c:pt idx="760">
                  <c:v>3.5523673189288978</c:v>
                </c:pt>
                <c:pt idx="761">
                  <c:v>3.5523890673718252</c:v>
                </c:pt>
                <c:pt idx="762">
                  <c:v>3.5524108152189307</c:v>
                </c:pt>
                <c:pt idx="763">
                  <c:v>3.5524325624702273</c:v>
                </c:pt>
                <c:pt idx="764">
                  <c:v>3.5524543091257232</c:v>
                </c:pt>
                <c:pt idx="765">
                  <c:v>3.5524760551854344</c:v>
                </c:pt>
                <c:pt idx="766">
                  <c:v>3.5524978006493702</c:v>
                </c:pt>
                <c:pt idx="767">
                  <c:v>3.552519545517542</c:v>
                </c:pt>
                <c:pt idx="768">
                  <c:v>3.5525412897899633</c:v>
                </c:pt>
                <c:pt idx="769">
                  <c:v>3.5525630334666434</c:v>
                </c:pt>
                <c:pt idx="770">
                  <c:v>3.5525847765475982</c:v>
                </c:pt>
                <c:pt idx="771">
                  <c:v>3.5526065190328362</c:v>
                </c:pt>
                <c:pt idx="772">
                  <c:v>3.5526282609223676</c:v>
                </c:pt>
                <c:pt idx="773">
                  <c:v>3.552650002216208</c:v>
                </c:pt>
                <c:pt idx="774">
                  <c:v>3.5526717429143657</c:v>
                </c:pt>
                <c:pt idx="775">
                  <c:v>3.5526934830168546</c:v>
                </c:pt>
                <c:pt idx="776">
                  <c:v>3.5527152225236858</c:v>
                </c:pt>
                <c:pt idx="777">
                  <c:v>3.5527369614348689</c:v>
                </c:pt>
                <c:pt idx="778">
                  <c:v>3.5527586997504179</c:v>
                </c:pt>
                <c:pt idx="779">
                  <c:v>3.5527804374703447</c:v>
                </c:pt>
                <c:pt idx="780">
                  <c:v>3.5528021745946607</c:v>
                </c:pt>
                <c:pt idx="781">
                  <c:v>3.5528239111233777</c:v>
                </c:pt>
                <c:pt idx="782">
                  <c:v>3.5528456470565053</c:v>
                </c:pt>
                <c:pt idx="783">
                  <c:v>3.5528673823940569</c:v>
                </c:pt>
                <c:pt idx="784">
                  <c:v>3.5528891171360457</c:v>
                </c:pt>
                <c:pt idx="785">
                  <c:v>3.5529108512824803</c:v>
                </c:pt>
                <c:pt idx="786">
                  <c:v>3.5529325848333739</c:v>
                </c:pt>
                <c:pt idx="787">
                  <c:v>3.5529543177887408</c:v>
                </c:pt>
                <c:pt idx="788">
                  <c:v>3.5529760501485854</c:v>
                </c:pt>
                <c:pt idx="789">
                  <c:v>3.5529977819129277</c:v>
                </c:pt>
                <c:pt idx="790">
                  <c:v>3.5530195130817757</c:v>
                </c:pt>
                <c:pt idx="791">
                  <c:v>3.5530412436551382</c:v>
                </c:pt>
                <c:pt idx="792">
                  <c:v>3.5530629736330326</c:v>
                </c:pt>
                <c:pt idx="793">
                  <c:v>3.5530847030154664</c:v>
                </c:pt>
                <c:pt idx="794">
                  <c:v>3.5531064318024517</c:v>
                </c:pt>
                <c:pt idx="795">
                  <c:v>3.5531281599940026</c:v>
                </c:pt>
                <c:pt idx="796">
                  <c:v>3.5531498875901288</c:v>
                </c:pt>
                <c:pt idx="797">
                  <c:v>3.5531716145908412</c:v>
                </c:pt>
                <c:pt idx="798">
                  <c:v>3.5531933409961569</c:v>
                </c:pt>
                <c:pt idx="799">
                  <c:v>3.5532150668060796</c:v>
                </c:pt>
                <c:pt idx="800">
                  <c:v>3.5532367920206269</c:v>
                </c:pt>
                <c:pt idx="801">
                  <c:v>3.5532585166398065</c:v>
                </c:pt>
                <c:pt idx="802">
                  <c:v>3.5532802406636352</c:v>
                </c:pt>
                <c:pt idx="803">
                  <c:v>3.5533019640921184</c:v>
                </c:pt>
                <c:pt idx="804">
                  <c:v>3.5533236869252733</c:v>
                </c:pt>
                <c:pt idx="805">
                  <c:v>3.5533454091631049</c:v>
                </c:pt>
                <c:pt idx="806">
                  <c:v>3.553367130805634</c:v>
                </c:pt>
                <c:pt idx="807">
                  <c:v>3.5533888518528651</c:v>
                </c:pt>
                <c:pt idx="808">
                  <c:v>3.5534105723048128</c:v>
                </c:pt>
                <c:pt idx="809">
                  <c:v>3.5534322921614891</c:v>
                </c:pt>
                <c:pt idx="810">
                  <c:v>3.5534540114229052</c:v>
                </c:pt>
                <c:pt idx="811">
                  <c:v>3.5534757300890729</c:v>
                </c:pt>
                <c:pt idx="812">
                  <c:v>3.5534974481600003</c:v>
                </c:pt>
                <c:pt idx="813">
                  <c:v>3.5535191656357044</c:v>
                </c:pt>
                <c:pt idx="814">
                  <c:v>3.5535408825161947</c:v>
                </c:pt>
                <c:pt idx="815">
                  <c:v>3.5535625988014821</c:v>
                </c:pt>
                <c:pt idx="816">
                  <c:v>3.5535843144915802</c:v>
                </c:pt>
                <c:pt idx="817">
                  <c:v>3.5536060295864988</c:v>
                </c:pt>
                <c:pt idx="818">
                  <c:v>3.55362774408625</c:v>
                </c:pt>
                <c:pt idx="819">
                  <c:v>3.5536494579908475</c:v>
                </c:pt>
                <c:pt idx="820">
                  <c:v>3.5536711713003011</c:v>
                </c:pt>
                <c:pt idx="821">
                  <c:v>3.5536928840146214</c:v>
                </c:pt>
                <c:pt idx="822">
                  <c:v>3.5537145961338221</c:v>
                </c:pt>
                <c:pt idx="823">
                  <c:v>3.5537363076579136</c:v>
                </c:pt>
                <c:pt idx="824">
                  <c:v>3.5537580185869087</c:v>
                </c:pt>
                <c:pt idx="825">
                  <c:v>3.5537797289208193</c:v>
                </c:pt>
                <c:pt idx="826">
                  <c:v>3.5538014386596553</c:v>
                </c:pt>
                <c:pt idx="827">
                  <c:v>3.5538231478034294</c:v>
                </c:pt>
                <c:pt idx="828">
                  <c:v>3.5538448563521552</c:v>
                </c:pt>
                <c:pt idx="829">
                  <c:v>3.5538665643058414</c:v>
                </c:pt>
                <c:pt idx="830">
                  <c:v>3.5538882716644986</c:v>
                </c:pt>
                <c:pt idx="831">
                  <c:v>3.5539099784281434</c:v>
                </c:pt>
                <c:pt idx="832">
                  <c:v>3.5539316845967841</c:v>
                </c:pt>
                <c:pt idx="833">
                  <c:v>3.553953390170435</c:v>
                </c:pt>
                <c:pt idx="834">
                  <c:v>3.5539750951491045</c:v>
                </c:pt>
                <c:pt idx="835">
                  <c:v>3.5539967995328046</c:v>
                </c:pt>
                <c:pt idx="836">
                  <c:v>3.5540185033215499</c:v>
                </c:pt>
                <c:pt idx="837">
                  <c:v>3.5540402065153498</c:v>
                </c:pt>
                <c:pt idx="838">
                  <c:v>3.5540619091142163</c:v>
                </c:pt>
                <c:pt idx="839">
                  <c:v>3.5540836111181591</c:v>
                </c:pt>
                <c:pt idx="840">
                  <c:v>3.5541053125271946</c:v>
                </c:pt>
                <c:pt idx="841">
                  <c:v>3.5541270133413341</c:v>
                </c:pt>
                <c:pt idx="842">
                  <c:v>3.5541487135605836</c:v>
                </c:pt>
                <c:pt idx="843">
                  <c:v>3.5541704131849601</c:v>
                </c:pt>
                <c:pt idx="844">
                  <c:v>3.5541921122144728</c:v>
                </c:pt>
                <c:pt idx="845">
                  <c:v>3.5542138106491334</c:v>
                </c:pt>
                <c:pt idx="846">
                  <c:v>3.5542355084889565</c:v>
                </c:pt>
                <c:pt idx="847">
                  <c:v>3.554257205733951</c:v>
                </c:pt>
                <c:pt idx="848">
                  <c:v>3.5542789023841279</c:v>
                </c:pt>
                <c:pt idx="849">
                  <c:v>3.5543005984395015</c:v>
                </c:pt>
                <c:pt idx="850">
                  <c:v>3.5543222939000816</c:v>
                </c:pt>
                <c:pt idx="851">
                  <c:v>3.5543439887658788</c:v>
                </c:pt>
                <c:pt idx="852">
                  <c:v>3.5543656830369099</c:v>
                </c:pt>
                <c:pt idx="853">
                  <c:v>3.5543873767131822</c:v>
                </c:pt>
                <c:pt idx="854">
                  <c:v>3.5544090697947088</c:v>
                </c:pt>
                <c:pt idx="855">
                  <c:v>3.5544307622815001</c:v>
                </c:pt>
                <c:pt idx="856">
                  <c:v>3.5544524541735676</c:v>
                </c:pt>
                <c:pt idx="857">
                  <c:v>3.5544741454709263</c:v>
                </c:pt>
                <c:pt idx="858">
                  <c:v>3.5544958361735817</c:v>
                </c:pt>
                <c:pt idx="859">
                  <c:v>3.5545175262815527</c:v>
                </c:pt>
                <c:pt idx="860">
                  <c:v>3.5545392157948479</c:v>
                </c:pt>
                <c:pt idx="861">
                  <c:v>3.5545609047134774</c:v>
                </c:pt>
                <c:pt idx="862">
                  <c:v>3.5545825930374568</c:v>
                </c:pt>
                <c:pt idx="863">
                  <c:v>3.5546042807667928</c:v>
                </c:pt>
                <c:pt idx="864">
                  <c:v>3.5546259679014987</c:v>
                </c:pt>
                <c:pt idx="865">
                  <c:v>3.5546476544415899</c:v>
                </c:pt>
                <c:pt idx="866">
                  <c:v>3.5546693403870733</c:v>
                </c:pt>
                <c:pt idx="867">
                  <c:v>3.5546910257379634</c:v>
                </c:pt>
                <c:pt idx="868">
                  <c:v>3.5547127104942704</c:v>
                </c:pt>
                <c:pt idx="869">
                  <c:v>3.5547343946560095</c:v>
                </c:pt>
                <c:pt idx="870">
                  <c:v>3.5547560782231886</c:v>
                </c:pt>
                <c:pt idx="871">
                  <c:v>3.5547777611958189</c:v>
                </c:pt>
                <c:pt idx="872">
                  <c:v>3.5547994435739154</c:v>
                </c:pt>
                <c:pt idx="873">
                  <c:v>3.5548211253574853</c:v>
                </c:pt>
                <c:pt idx="874">
                  <c:v>3.5548428065465454</c:v>
                </c:pt>
                <c:pt idx="875">
                  <c:v>3.5548644871411033</c:v>
                </c:pt>
                <c:pt idx="876">
                  <c:v>3.5548861671411731</c:v>
                </c:pt>
                <c:pt idx="877">
                  <c:v>3.5549078465467643</c:v>
                </c:pt>
                <c:pt idx="878">
                  <c:v>3.554929525357891</c:v>
                </c:pt>
                <c:pt idx="879">
                  <c:v>3.5549512035745652</c:v>
                </c:pt>
                <c:pt idx="880">
                  <c:v>3.5549728811967984</c:v>
                </c:pt>
                <c:pt idx="881">
                  <c:v>3.5549945582245988</c:v>
                </c:pt>
                <c:pt idx="882">
                  <c:v>3.5550162346579794</c:v>
                </c:pt>
                <c:pt idx="883">
                  <c:v>3.5550379104969547</c:v>
                </c:pt>
                <c:pt idx="884">
                  <c:v>3.5550595857415348</c:v>
                </c:pt>
                <c:pt idx="885">
                  <c:v>3.5550812603917308</c:v>
                </c:pt>
                <c:pt idx="886">
                  <c:v>3.5551029344475538</c:v>
                </c:pt>
                <c:pt idx="887">
                  <c:v>3.5551246079090197</c:v>
                </c:pt>
                <c:pt idx="888">
                  <c:v>3.5551462807761345</c:v>
                </c:pt>
                <c:pt idx="889">
                  <c:v>3.5551679530489131</c:v>
                </c:pt>
                <c:pt idx="890">
                  <c:v>3.5551896247273658</c:v>
                </c:pt>
                <c:pt idx="891">
                  <c:v>3.5552112958115067</c:v>
                </c:pt>
                <c:pt idx="892">
                  <c:v>3.555232966301344</c:v>
                </c:pt>
                <c:pt idx="893">
                  <c:v>3.5552546361968949</c:v>
                </c:pt>
                <c:pt idx="894">
                  <c:v>3.5552763054981642</c:v>
                </c:pt>
                <c:pt idx="895">
                  <c:v>3.5552979742051667</c:v>
                </c:pt>
                <c:pt idx="896">
                  <c:v>3.5553196423179165</c:v>
                </c:pt>
                <c:pt idx="897">
                  <c:v>3.5553413098364213</c:v>
                </c:pt>
                <c:pt idx="898">
                  <c:v>3.5553629767606951</c:v>
                </c:pt>
                <c:pt idx="899">
                  <c:v>3.5553846430907505</c:v>
                </c:pt>
                <c:pt idx="900">
                  <c:v>3.5554063088265941</c:v>
                </c:pt>
                <c:pt idx="901">
                  <c:v>3.5554279739682442</c:v>
                </c:pt>
                <c:pt idx="902">
                  <c:v>3.5554496385157082</c:v>
                </c:pt>
                <c:pt idx="903">
                  <c:v>3.5554713024689995</c:v>
                </c:pt>
                <c:pt idx="904">
                  <c:v>3.5554929658281309</c:v>
                </c:pt>
                <c:pt idx="905">
                  <c:v>3.5555146285931114</c:v>
                </c:pt>
                <c:pt idx="906">
                  <c:v>3.5555362907639529</c:v>
                </c:pt>
                <c:pt idx="907">
                  <c:v>3.5555579523406702</c:v>
                </c:pt>
                <c:pt idx="908">
                  <c:v>3.5555796133232707</c:v>
                </c:pt>
                <c:pt idx="909">
                  <c:v>3.5556012737117695</c:v>
                </c:pt>
                <c:pt idx="910">
                  <c:v>3.5556229335061769</c:v>
                </c:pt>
                <c:pt idx="911">
                  <c:v>3.5556445927065039</c:v>
                </c:pt>
                <c:pt idx="912">
                  <c:v>3.5556662513127639</c:v>
                </c:pt>
                <c:pt idx="913">
                  <c:v>3.5556879093249698</c:v>
                </c:pt>
                <c:pt idx="914">
                  <c:v>3.5557095667431304</c:v>
                </c:pt>
                <c:pt idx="915">
                  <c:v>3.5557312235672565</c:v>
                </c:pt>
                <c:pt idx="916">
                  <c:v>3.5557528797973621</c:v>
                </c:pt>
                <c:pt idx="917">
                  <c:v>3.555774535433458</c:v>
                </c:pt>
                <c:pt idx="918">
                  <c:v>3.5557961904755562</c:v>
                </c:pt>
                <c:pt idx="919">
                  <c:v>3.5558178449236704</c:v>
                </c:pt>
                <c:pt idx="920">
                  <c:v>3.5558394987778081</c:v>
                </c:pt>
                <c:pt idx="921">
                  <c:v>3.5558611520379837</c:v>
                </c:pt>
                <c:pt idx="922">
                  <c:v>3.5558828047042086</c:v>
                </c:pt>
                <c:pt idx="923">
                  <c:v>3.5559044567764961</c:v>
                </c:pt>
                <c:pt idx="924">
                  <c:v>3.5559261082548534</c:v>
                </c:pt>
                <c:pt idx="925">
                  <c:v>3.5559477591392947</c:v>
                </c:pt>
                <c:pt idx="926">
                  <c:v>3.5559694094298355</c:v>
                </c:pt>
                <c:pt idx="927">
                  <c:v>3.5559910591264812</c:v>
                </c:pt>
                <c:pt idx="928">
                  <c:v>3.5560127082292476</c:v>
                </c:pt>
                <c:pt idx="929">
                  <c:v>3.5560343567381452</c:v>
                </c:pt>
                <c:pt idx="930">
                  <c:v>3.5560560046531831</c:v>
                </c:pt>
                <c:pt idx="931">
                  <c:v>3.5560776519743778</c:v>
                </c:pt>
                <c:pt idx="932">
                  <c:v>3.5560992987017399</c:v>
                </c:pt>
                <c:pt idx="933">
                  <c:v>3.5561209448352766</c:v>
                </c:pt>
                <c:pt idx="934">
                  <c:v>3.5561425903750039</c:v>
                </c:pt>
                <c:pt idx="935">
                  <c:v>3.5561642353209333</c:v>
                </c:pt>
                <c:pt idx="936">
                  <c:v>3.5561858796730772</c:v>
                </c:pt>
                <c:pt idx="937">
                  <c:v>3.5562075234314414</c:v>
                </c:pt>
                <c:pt idx="938">
                  <c:v>3.5562291665960442</c:v>
                </c:pt>
                <c:pt idx="939">
                  <c:v>3.5562508091668961</c:v>
                </c:pt>
                <c:pt idx="940">
                  <c:v>3.5562724511440051</c:v>
                </c:pt>
                <c:pt idx="941">
                  <c:v>3.5562940925273878</c:v>
                </c:pt>
                <c:pt idx="942">
                  <c:v>3.5563157333170521</c:v>
                </c:pt>
                <c:pt idx="943">
                  <c:v>3.5563373735130113</c:v>
                </c:pt>
                <c:pt idx="944">
                  <c:v>3.5563590131152805</c:v>
                </c:pt>
                <c:pt idx="945">
                  <c:v>3.556380652123865</c:v>
                </c:pt>
                <c:pt idx="946">
                  <c:v>3.5564022905387791</c:v>
                </c:pt>
                <c:pt idx="947">
                  <c:v>3.5564239283600356</c:v>
                </c:pt>
                <c:pt idx="948">
                  <c:v>3.5564455655876444</c:v>
                </c:pt>
                <c:pt idx="949">
                  <c:v>3.5564672022216164</c:v>
                </c:pt>
                <c:pt idx="950">
                  <c:v>3.5564888382619699</c:v>
                </c:pt>
                <c:pt idx="951">
                  <c:v>3.5565104737087099</c:v>
                </c:pt>
                <c:pt idx="952">
                  <c:v>3.5565321085618491</c:v>
                </c:pt>
                <c:pt idx="953">
                  <c:v>3.5565537428214005</c:v>
                </c:pt>
                <c:pt idx="954">
                  <c:v>3.5565753764873747</c:v>
                </c:pt>
                <c:pt idx="955">
                  <c:v>3.5565970095597876</c:v>
                </c:pt>
                <c:pt idx="956">
                  <c:v>3.5566186420386439</c:v>
                </c:pt>
                <c:pt idx="957">
                  <c:v>3.5566402739239606</c:v>
                </c:pt>
                <c:pt idx="958">
                  <c:v>3.5566619052157455</c:v>
                </c:pt>
                <c:pt idx="959">
                  <c:v>3.556683535914015</c:v>
                </c:pt>
                <c:pt idx="960">
                  <c:v>3.5567051660187774</c:v>
                </c:pt>
                <c:pt idx="961">
                  <c:v>3.5567267955300426</c:v>
                </c:pt>
                <c:pt idx="962">
                  <c:v>3.5567484244478274</c:v>
                </c:pt>
                <c:pt idx="963">
                  <c:v>3.5567700527721411</c:v>
                </c:pt>
                <c:pt idx="964">
                  <c:v>3.5567916805029962</c:v>
                </c:pt>
                <c:pt idx="965">
                  <c:v>3.5568133076404016</c:v>
                </c:pt>
                <c:pt idx="966">
                  <c:v>3.5568349341843719</c:v>
                </c:pt>
                <c:pt idx="967">
                  <c:v>3.5568565601349169</c:v>
                </c:pt>
                <c:pt idx="968">
                  <c:v>3.5568781854920504</c:v>
                </c:pt>
                <c:pt idx="969">
                  <c:v>3.5568998102557812</c:v>
                </c:pt>
                <c:pt idx="970">
                  <c:v>3.5569214344261249</c:v>
                </c:pt>
                <c:pt idx="971">
                  <c:v>3.5569430580030912</c:v>
                </c:pt>
                <c:pt idx="972">
                  <c:v>3.5569646809866908</c:v>
                </c:pt>
                <c:pt idx="973">
                  <c:v>3.5569863033769344</c:v>
                </c:pt>
                <c:pt idx="974">
                  <c:v>3.5570079251738389</c:v>
                </c:pt>
                <c:pt idx="975">
                  <c:v>3.5570295463774104</c:v>
                </c:pt>
                <c:pt idx="976">
                  <c:v>3.5570511669876628</c:v>
                </c:pt>
                <c:pt idx="977">
                  <c:v>3.5570727870046084</c:v>
                </c:pt>
                <c:pt idx="978">
                  <c:v>3.5570944064282588</c:v>
                </c:pt>
                <c:pt idx="979">
                  <c:v>3.5571160252586247</c:v>
                </c:pt>
                <c:pt idx="980">
                  <c:v>3.5571376434957176</c:v>
                </c:pt>
                <c:pt idx="981">
                  <c:v>3.5571592611395504</c:v>
                </c:pt>
                <c:pt idx="982">
                  <c:v>3.5571808781901355</c:v>
                </c:pt>
                <c:pt idx="983">
                  <c:v>3.5572024946474832</c:v>
                </c:pt>
                <c:pt idx="984">
                  <c:v>3.5572241105116027</c:v>
                </c:pt>
                <c:pt idx="985">
                  <c:v>3.5572457257825105</c:v>
                </c:pt>
                <c:pt idx="986">
                  <c:v>3.5572673404602173</c:v>
                </c:pt>
                <c:pt idx="987">
                  <c:v>3.5572889545447337</c:v>
                </c:pt>
                <c:pt idx="988">
                  <c:v>3.5573105680360695</c:v>
                </c:pt>
                <c:pt idx="989">
                  <c:v>3.557332180934238</c:v>
                </c:pt>
                <c:pt idx="990">
                  <c:v>3.5573537932392534</c:v>
                </c:pt>
                <c:pt idx="991">
                  <c:v>3.557375404951125</c:v>
                </c:pt>
                <c:pt idx="992">
                  <c:v>3.5573970160698631</c:v>
                </c:pt>
                <c:pt idx="993">
                  <c:v>3.5574186265954824</c:v>
                </c:pt>
                <c:pt idx="994">
                  <c:v>3.5574402365279938</c:v>
                </c:pt>
                <c:pt idx="995">
                  <c:v>3.5574618458674072</c:v>
                </c:pt>
                <c:pt idx="996">
                  <c:v>3.5574834546137359</c:v>
                </c:pt>
                <c:pt idx="997">
                  <c:v>3.5575050627669933</c:v>
                </c:pt>
                <c:pt idx="998">
                  <c:v>3.5575266703271868</c:v>
                </c:pt>
                <c:pt idx="999">
                  <c:v>3.5575482772943294</c:v>
                </c:pt>
                <c:pt idx="1000">
                  <c:v>3.5575698836684371</c:v>
                </c:pt>
              </c:numCache>
            </c:numRef>
          </c:yVal>
          <c:smooth val="0"/>
          <c:extLst>
            <c:ext xmlns:c16="http://schemas.microsoft.com/office/drawing/2014/chart" uri="{C3380CC4-5D6E-409C-BE32-E72D297353CC}">
              <c16:uniqueId val="{00000002-B98B-46BB-BB51-DAAA2071230C}"/>
            </c:ext>
          </c:extLst>
        </c:ser>
        <c:dLbls>
          <c:showLegendKey val="0"/>
          <c:showVal val="0"/>
          <c:showCatName val="0"/>
          <c:showSerName val="0"/>
          <c:showPercent val="0"/>
          <c:showBubbleSize val="0"/>
        </c:dLbls>
        <c:axId val="149500672"/>
        <c:axId val="149502592"/>
      </c:scatterChart>
      <c:valAx>
        <c:axId val="149500672"/>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1"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49502592"/>
        <c:crosses val="autoZero"/>
        <c:crossBetween val="midCat"/>
      </c:valAx>
      <c:valAx>
        <c:axId val="149502592"/>
        <c:scaling>
          <c:orientation val="minMax"/>
        </c:scaling>
        <c:delete val="0"/>
        <c:axPos val="l"/>
        <c:majorGridlines>
          <c:spPr>
            <a:ln w="3175">
              <a:solidFill>
                <a:srgbClr val="000000"/>
              </a:solidFill>
              <a:prstDash val="sysDash"/>
            </a:ln>
          </c:spPr>
        </c:majorGridlines>
        <c:title>
          <c:tx>
            <c:rich>
              <a:bodyPr/>
              <a:lstStyle/>
              <a:p>
                <a:pPr>
                  <a:defRPr sz="1200" b="1" i="0" u="none" strike="noStrike" baseline="0">
                    <a:solidFill>
                      <a:srgbClr val="000000"/>
                    </a:solidFill>
                    <a:latin typeface="Arial"/>
                    <a:ea typeface="Arial"/>
                    <a:cs typeface="Arial"/>
                  </a:defRPr>
                </a:pPr>
                <a:r>
                  <a:rPr lang="fr-FR"/>
                  <a:t>Forces [N]</a:t>
                </a:r>
              </a:p>
            </c:rich>
          </c:tx>
          <c:layout>
            <c:manualLayout>
              <c:xMode val="edge"/>
              <c:yMode val="edge"/>
              <c:x val="2.0047169811320761E-2"/>
              <c:y val="0.33333438320209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fr-FR"/>
          </a:p>
        </c:txPr>
        <c:crossAx val="149500672"/>
        <c:crosses val="autoZero"/>
        <c:crossBetween val="midCat"/>
      </c:valAx>
      <c:spPr>
        <a:noFill/>
        <a:ln w="12700">
          <a:solidFill>
            <a:srgbClr val="808080"/>
          </a:solidFill>
          <a:prstDash val="solid"/>
        </a:ln>
      </c:spPr>
    </c:plotArea>
    <c:legend>
      <c:legendPos val="r"/>
      <c:layout>
        <c:manualLayout>
          <c:xMode val="edge"/>
          <c:yMode val="edge"/>
          <c:x val="0.83018929827167842"/>
          <c:y val="0.34444479440069992"/>
          <c:w val="0.13050326845936713"/>
          <c:h val="0.22888888888888886"/>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Courbes!$B$140</c:f>
          <c:strCache>
            <c:ptCount val="1"/>
            <c:pt idx="0">
              <c:v>Vitesse</c:v>
            </c:pt>
          </c:strCache>
        </c:strRef>
      </c:tx>
      <c:overlay val="1"/>
      <c:txPr>
        <a:bodyPr/>
        <a:lstStyle/>
        <a:p>
          <a:pPr>
            <a:defRPr sz="1200" b="1" i="0" u="none" strike="noStrike" baseline="0">
              <a:solidFill>
                <a:srgbClr val="000000"/>
              </a:solidFill>
              <a:latin typeface="Arial"/>
              <a:ea typeface="Arial"/>
              <a:cs typeface="Arial"/>
            </a:defRPr>
          </a:pPr>
          <a:endParaRPr lang="fr-FR"/>
        </a:p>
      </c:txPr>
    </c:title>
    <c:autoTitleDeleted val="0"/>
    <c:plotArea>
      <c:layout>
        <c:manualLayout>
          <c:layoutTarget val="inner"/>
          <c:xMode val="edge"/>
          <c:yMode val="edge"/>
          <c:x val="0.10495283018867926"/>
          <c:y val="9.4771544282144501E-2"/>
          <c:w val="0.87617924528302116"/>
          <c:h val="0.74183243282920064"/>
        </c:manualLayout>
      </c:layout>
      <c:scatterChart>
        <c:scatterStyle val="lineMarker"/>
        <c:varyColors val="0"/>
        <c:ser>
          <c:idx val="0"/>
          <c:order val="0"/>
          <c:tx>
            <c:strRef>
              <c:f>Courbes!$B$140</c:f>
              <c:strCache>
                <c:ptCount val="1"/>
                <c:pt idx="0">
                  <c:v>Vitesse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Calculs!$I$4:$I$1004</c:f>
              <c:numCache>
                <c:formatCode>0.00</c:formatCode>
                <c:ptCount val="1001"/>
                <c:pt idx="0">
                  <c:v>0</c:v>
                </c:pt>
                <c:pt idx="1">
                  <c:v>7.8079388385621118E-2</c:v>
                </c:pt>
                <c:pt idx="2">
                  <c:v>0.83347189015566792</c:v>
                </c:pt>
                <c:pt idx="3">
                  <c:v>2.1470003943056621</c:v>
                </c:pt>
                <c:pt idx="4">
                  <c:v>3.5600355431677122</c:v>
                </c:pt>
                <c:pt idx="5">
                  <c:v>4.970425563606141</c:v>
                </c:pt>
                <c:pt idx="6">
                  <c:v>6.2866616149937533</c:v>
                </c:pt>
                <c:pt idx="7">
                  <c:v>7.5084522188538863</c:v>
                </c:pt>
                <c:pt idx="8">
                  <c:v>8.7014242777659714</c:v>
                </c:pt>
                <c:pt idx="9">
                  <c:v>9.9313786585171169</c:v>
                </c:pt>
                <c:pt idx="10">
                  <c:v>11.198293817929622</c:v>
                </c:pt>
                <c:pt idx="11">
                  <c:v>12.488201792159009</c:v>
                </c:pt>
                <c:pt idx="12">
                  <c:v>13.787095272387104</c:v>
                </c:pt>
                <c:pt idx="13">
                  <c:v>15.094892590503523</c:v>
                </c:pt>
                <c:pt idx="14">
                  <c:v>16.411510096612879</c:v>
                </c:pt>
                <c:pt idx="15">
                  <c:v>17.736862164093179</c:v>
                </c:pt>
                <c:pt idx="16">
                  <c:v>19.070861195772</c:v>
                </c:pt>
                <c:pt idx="17">
                  <c:v>20.41341763123312</c:v>
                </c:pt>
                <c:pt idx="18">
                  <c:v>21.764439955265683</c:v>
                </c:pt>
                <c:pt idx="19">
                  <c:v>23.123834707466845</c:v>
                </c:pt>
                <c:pt idx="20">
                  <c:v>24.491506493007957</c:v>
                </c:pt>
                <c:pt idx="21">
                  <c:v>25.865139430888124</c:v>
                </c:pt>
                <c:pt idx="22">
                  <c:v>27.242416997180378</c:v>
                </c:pt>
                <c:pt idx="23">
                  <c:v>28.623239798233268</c:v>
                </c:pt>
                <c:pt idx="24">
                  <c:v>30.007501815000886</c:v>
                </c:pt>
                <c:pt idx="25">
                  <c:v>31.395096185162004</c:v>
                </c:pt>
                <c:pt idx="26">
                  <c:v>32.785915228827839</c:v>
                </c:pt>
                <c:pt idx="27">
                  <c:v>34.179850475567136</c:v>
                </c:pt>
                <c:pt idx="28">
                  <c:v>35.576792692541915</c:v>
                </c:pt>
                <c:pt idx="29">
                  <c:v>36.976631913642841</c:v>
                </c:pt>
                <c:pt idx="30">
                  <c:v>38.379257469532156</c:v>
                </c:pt>
                <c:pt idx="31">
                  <c:v>39.780084168354833</c:v>
                </c:pt>
                <c:pt idx="32">
                  <c:v>41.174521643413911</c:v>
                </c:pt>
                <c:pt idx="33">
                  <c:v>42.562457188296911</c:v>
                </c:pt>
                <c:pt idx="34">
                  <c:v>43.943779731759342</c:v>
                </c:pt>
                <c:pt idx="35">
                  <c:v>45.31837986868949</c:v>
                </c:pt>
                <c:pt idx="36">
                  <c:v>46.686149890127922</c:v>
                </c:pt>
                <c:pt idx="37">
                  <c:v>48.046983812300269</c:v>
                </c:pt>
                <c:pt idx="38">
                  <c:v>49.400777404628023</c:v>
                </c:pt>
                <c:pt idx="39">
                  <c:v>50.747428216686373</c:v>
                </c:pt>
                <c:pt idx="40">
                  <c:v>52.086835604082502</c:v>
                </c:pt>
                <c:pt idx="41">
                  <c:v>53.418900753231064</c:v>
                </c:pt>
                <c:pt idx="42">
                  <c:v>54.743526705007049</c:v>
                </c:pt>
                <c:pt idx="43">
                  <c:v>56.060618377258713</c:v>
                </c:pt>
                <c:pt idx="44">
                  <c:v>57.370082586166056</c:v>
                </c:pt>
                <c:pt idx="45">
                  <c:v>58.671828066432617</c:v>
                </c:pt>
                <c:pt idx="46">
                  <c:v>59.965765490300541</c:v>
                </c:pt>
                <c:pt idx="47">
                  <c:v>61.25180748538083</c:v>
                </c:pt>
                <c:pt idx="48">
                  <c:v>62.529868651292652</c:v>
                </c:pt>
                <c:pt idx="49">
                  <c:v>63.799865575107511</c:v>
                </c:pt>
                <c:pt idx="50">
                  <c:v>65.061716845595342</c:v>
                </c:pt>
                <c:pt idx="51">
                  <c:v>66.315343066271865</c:v>
                </c:pt>
                <c:pt idx="52">
                  <c:v>67.56066686724742</c:v>
                </c:pt>
                <c:pt idx="53">
                  <c:v>68.797612915879583</c:v>
                </c:pt>
                <c:pt idx="54">
                  <c:v>70.026107926232726</c:v>
                </c:pt>
                <c:pt idx="55">
                  <c:v>71.246080667349631</c:v>
                </c:pt>
                <c:pt idx="56">
                  <c:v>72.457461970340916</c:v>
                </c:pt>
                <c:pt idx="57">
                  <c:v>73.660184734300003</c:v>
                </c:pt>
                <c:pt idx="58">
                  <c:v>74.854183931052205</c:v>
                </c:pt>
                <c:pt idx="59">
                  <c:v>76.039396608747367</c:v>
                </c:pt>
                <c:pt idx="60">
                  <c:v>77.215761894307477</c:v>
                </c:pt>
                <c:pt idx="61">
                  <c:v>78.383220994740824</c:v>
                </c:pt>
                <c:pt idx="62">
                  <c:v>79.541717197336069</c:v>
                </c:pt>
                <c:pt idx="63">
                  <c:v>80.691195868749958</c:v>
                </c:pt>
                <c:pt idx="64">
                  <c:v>81.831604453003962</c:v>
                </c:pt>
                <c:pt idx="65">
                  <c:v>82.962892468405542</c:v>
                </c:pt>
                <c:pt idx="66">
                  <c:v>84.085011503410854</c:v>
                </c:pt>
                <c:pt idx="67">
                  <c:v>85.19791521144667</c:v>
                </c:pt>
                <c:pt idx="68">
                  <c:v>86.301559304709556</c:v>
                </c:pt>
                <c:pt idx="69">
                  <c:v>87.395901546961852</c:v>
                </c:pt>
                <c:pt idx="70">
                  <c:v>88.480901745343999</c:v>
                </c:pt>
                <c:pt idx="71">
                  <c:v>89.55815165102527</c:v>
                </c:pt>
                <c:pt idx="72">
                  <c:v>90.629241061399327</c:v>
                </c:pt>
                <c:pt idx="73">
                  <c:v>91.694124985767615</c:v>
                </c:pt>
                <c:pt idx="74">
                  <c:v>92.752759800333109</c:v>
                </c:pt>
                <c:pt idx="75">
                  <c:v>93.805103249074918</c:v>
                </c:pt>
                <c:pt idx="76">
                  <c:v>94.851114443999009</c:v>
                </c:pt>
                <c:pt idx="77">
                  <c:v>95.890753864772378</c:v>
                </c:pt>
                <c:pt idx="78">
                  <c:v>96.923983357748497</c:v>
                </c:pt>
                <c:pt idx="79">
                  <c:v>97.950766134392083</c:v>
                </c:pt>
                <c:pt idx="80">
                  <c:v>98.971066769112213</c:v>
                </c:pt>
                <c:pt idx="81">
                  <c:v>99.984851196512281</c:v>
                </c:pt>
                <c:pt idx="82">
                  <c:v>100.9920867080664</c:v>
                </c:pt>
                <c:pt idx="83">
                  <c:v>101.99274194823208</c:v>
                </c:pt>
                <c:pt idx="84">
                  <c:v>102.98678691000873</c:v>
                </c:pt>
                <c:pt idx="85">
                  <c:v>103.97419292995295</c:v>
                </c:pt>
                <c:pt idx="86">
                  <c:v>104.95493268266047</c:v>
                </c:pt>
                <c:pt idx="87">
                  <c:v>105.92898017472648</c:v>
                </c:pt>
                <c:pt idx="88">
                  <c:v>106.75277369895252</c:v>
                </c:pt>
                <c:pt idx="89">
                  <c:v>107.28337054112404</c:v>
                </c:pt>
                <c:pt idx="90">
                  <c:v>107.5222707059327</c:v>
                </c:pt>
                <c:pt idx="91">
                  <c:v>107.5769976433798</c:v>
                </c:pt>
                <c:pt idx="92">
                  <c:v>107.55453542857538</c:v>
                </c:pt>
                <c:pt idx="93">
                  <c:v>107.45534996638395</c:v>
                </c:pt>
                <c:pt idx="94">
                  <c:v>107.27991350470582</c:v>
                </c:pt>
                <c:pt idx="95">
                  <c:v>107.02870342232681</c:v>
                </c:pt>
                <c:pt idx="96">
                  <c:v>106.70220104452221</c:v>
                </c:pt>
                <c:pt idx="97">
                  <c:v>106.30089048712301</c:v>
                </c:pt>
                <c:pt idx="98">
                  <c:v>105.86372402239913</c:v>
                </c:pt>
                <c:pt idx="99">
                  <c:v>105.42939475247465</c:v>
                </c:pt>
                <c:pt idx="100">
                  <c:v>104.99787239022858</c:v>
                </c:pt>
                <c:pt idx="101">
                  <c:v>104.569127077348</c:v>
                </c:pt>
                <c:pt idx="102">
                  <c:v>104.14312937674384</c:v>
                </c:pt>
                <c:pt idx="103">
                  <c:v>103.71985026512746</c:v>
                </c:pt>
                <c:pt idx="104">
                  <c:v>103.29926112574385</c:v>
                </c:pt>
                <c:pt idx="105">
                  <c:v>102.88133374125785</c:v>
                </c:pt>
                <c:pt idx="106">
                  <c:v>102.46604028678941</c:v>
                </c:pt>
                <c:pt idx="107">
                  <c:v>102.05335332309433</c:v>
                </c:pt>
                <c:pt idx="108">
                  <c:v>101.64324578988706</c:v>
                </c:pt>
                <c:pt idx="109">
                  <c:v>101.23569099930188</c:v>
                </c:pt>
                <c:pt idx="110">
                  <c:v>100.8306626294895</c:v>
                </c:pt>
                <c:pt idx="111">
                  <c:v>100.42813471834513</c:v>
                </c:pt>
                <c:pt idx="112">
                  <c:v>100.02808165736596</c:v>
                </c:pt>
                <c:pt idx="113">
                  <c:v>99.630478185633649</c:v>
                </c:pt>
                <c:pt idx="114">
                  <c:v>99.235299383920093</c:v>
                </c:pt>
                <c:pt idx="115">
                  <c:v>98.842520668912471</c:v>
                </c:pt>
                <c:pt idx="116">
                  <c:v>98.452117787555693</c:v>
                </c:pt>
                <c:pt idx="117">
                  <c:v>98.064066811508667</c:v>
                </c:pt>
                <c:pt idx="118">
                  <c:v>97.678344131712336</c:v>
                </c:pt>
                <c:pt idx="119">
                  <c:v>97.294926453066452</c:v>
                </c:pt>
                <c:pt idx="120">
                  <c:v>96.913790789212825</c:v>
                </c:pt>
                <c:pt idx="121">
                  <c:v>96.53491445742236</c:v>
                </c:pt>
                <c:pt idx="122">
                  <c:v>96.158275073583653</c:v>
                </c:pt>
                <c:pt idx="123">
                  <c:v>95.783850547290683</c:v>
                </c:pt>
                <c:pt idx="124">
                  <c:v>95.411619077027353</c:v>
                </c:pt>
                <c:pt idx="125">
                  <c:v>95.041559145446712</c:v>
                </c:pt>
                <c:pt idx="126">
                  <c:v>94.673649514742522</c:v>
                </c:pt>
                <c:pt idx="127">
                  <c:v>94.307869222111378</c:v>
                </c:pt>
                <c:pt idx="128">
                  <c:v>93.944197575302937</c:v>
                </c:pt>
                <c:pt idx="129">
                  <c:v>93.582614148256596</c:v>
                </c:pt>
                <c:pt idx="130">
                  <c:v>93.223098776822454</c:v>
                </c:pt>
                <c:pt idx="131">
                  <c:v>92.8656315545647</c:v>
                </c:pt>
                <c:pt idx="132">
                  <c:v>92.510192828645785</c:v>
                </c:pt>
                <c:pt idx="133">
                  <c:v>92.156763195789225</c:v>
                </c:pt>
                <c:pt idx="134">
                  <c:v>91.805323498319467</c:v>
                </c:pt>
                <c:pt idx="135">
                  <c:v>91.455854820277295</c:v>
                </c:pt>
                <c:pt idx="136">
                  <c:v>91.108338483608563</c:v>
                </c:pt>
                <c:pt idx="137">
                  <c:v>90.762756044425416</c:v>
                </c:pt>
                <c:pt idx="138">
                  <c:v>90.419089289337521</c:v>
                </c:pt>
                <c:pt idx="139">
                  <c:v>90.07732023185261</c:v>
                </c:pt>
                <c:pt idx="140">
                  <c:v>89.737431108844135</c:v>
                </c:pt>
                <c:pt idx="141">
                  <c:v>89.399404377085105</c:v>
                </c:pt>
                <c:pt idx="142">
                  <c:v>89.063222709846229</c:v>
                </c:pt>
                <c:pt idx="143">
                  <c:v>88.728868993557313</c:v>
                </c:pt>
                <c:pt idx="144">
                  <c:v>88.396326324530349</c:v>
                </c:pt>
                <c:pt idx="145">
                  <c:v>88.065578005743092</c:v>
                </c:pt>
                <c:pt idx="146">
                  <c:v>87.7366075436816</c:v>
                </c:pt>
                <c:pt idx="147">
                  <c:v>87.409398645240884</c:v>
                </c:pt>
                <c:pt idx="148">
                  <c:v>87.083935214681944</c:v>
                </c:pt>
                <c:pt idx="149">
                  <c:v>86.760201350644394</c:v>
                </c:pt>
                <c:pt idx="150">
                  <c:v>86.438181343213301</c:v>
                </c:pt>
                <c:pt idx="151">
                  <c:v>86.117859671039042</c:v>
                </c:pt>
                <c:pt idx="152">
                  <c:v>85.799220998509256</c:v>
                </c:pt>
                <c:pt idx="153">
                  <c:v>85.482250172971661</c:v>
                </c:pt>
                <c:pt idx="154">
                  <c:v>85.166932222006679</c:v>
                </c:pt>
                <c:pt idx="155">
                  <c:v>84.853252350748846</c:v>
                </c:pt>
                <c:pt idx="156">
                  <c:v>84.541195939256042</c:v>
                </c:pt>
                <c:pt idx="157">
                  <c:v>84.230748539925386</c:v>
                </c:pt>
                <c:pt idx="158">
                  <c:v>83.921895874955183</c:v>
                </c:pt>
                <c:pt idx="159">
                  <c:v>83.614623833851439</c:v>
                </c:pt>
                <c:pt idx="160">
                  <c:v>83.308918470978625</c:v>
                </c:pt>
                <c:pt idx="161">
                  <c:v>83.004766003153179</c:v>
                </c:pt>
                <c:pt idx="162">
                  <c:v>82.702152807279489</c:v>
                </c:pt>
                <c:pt idx="163">
                  <c:v>82.401065418026917</c:v>
                </c:pt>
                <c:pt idx="164">
                  <c:v>82.101490525547504</c:v>
                </c:pt>
                <c:pt idx="165">
                  <c:v>81.803414973233103</c:v>
                </c:pt>
                <c:pt idx="166">
                  <c:v>81.50682575551167</c:v>
                </c:pt>
                <c:pt idx="167">
                  <c:v>81.211710015681263</c:v>
                </c:pt>
                <c:pt idx="168">
                  <c:v>80.918055043781607</c:v>
                </c:pt>
                <c:pt idx="169">
                  <c:v>80.62584827450209</c:v>
                </c:pt>
                <c:pt idx="170">
                  <c:v>80.335077285125664</c:v>
                </c:pt>
                <c:pt idx="171">
                  <c:v>80.045729793507761</c:v>
                </c:pt>
                <c:pt idx="172">
                  <c:v>79.757793656089689</c:v>
                </c:pt>
                <c:pt idx="173">
                  <c:v>79.471256865945776</c:v>
                </c:pt>
                <c:pt idx="174">
                  <c:v>79.186107550863511</c:v>
                </c:pt>
                <c:pt idx="175">
                  <c:v>78.902333971456173</c:v>
                </c:pt>
                <c:pt idx="176">
                  <c:v>78.619924519307233</c:v>
                </c:pt>
                <c:pt idx="177">
                  <c:v>78.338867715145838</c:v>
                </c:pt>
                <c:pt idx="178">
                  <c:v>78.059152207052975</c:v>
                </c:pt>
                <c:pt idx="179">
                  <c:v>77.78076676869749</c:v>
                </c:pt>
                <c:pt idx="180">
                  <c:v>77.503700297601455</c:v>
                </c:pt>
                <c:pt idx="181">
                  <c:v>77.227941813434583</c:v>
                </c:pt>
                <c:pt idx="182">
                  <c:v>76.953480456336464</c:v>
                </c:pt>
                <c:pt idx="183">
                  <c:v>76.680305485267027</c:v>
                </c:pt>
                <c:pt idx="184">
                  <c:v>76.408406276383658</c:v>
                </c:pt>
                <c:pt idx="185">
                  <c:v>76.137772321445482</c:v>
                </c:pt>
                <c:pt idx="186">
                  <c:v>75.868393226243299</c:v>
                </c:pt>
                <c:pt idx="187">
                  <c:v>75.600258709055623</c:v>
                </c:pt>
                <c:pt idx="188">
                  <c:v>75.333358599129511</c:v>
                </c:pt>
                <c:pt idx="189">
                  <c:v>75.067682835186389</c:v>
                </c:pt>
                <c:pt idx="190">
                  <c:v>74.803221463951871</c:v>
                </c:pt>
                <c:pt idx="191">
                  <c:v>74.539964638709449</c:v>
                </c:pt>
                <c:pt idx="192">
                  <c:v>74.277902617877487</c:v>
                </c:pt>
                <c:pt idx="193">
                  <c:v>74.017025763609112</c:v>
                </c:pt>
                <c:pt idx="194">
                  <c:v>73.757324540414601</c:v>
                </c:pt>
                <c:pt idx="195">
                  <c:v>73.498789513805647</c:v>
                </c:pt>
                <c:pt idx="196">
                  <c:v>73.241411348961478</c:v>
                </c:pt>
                <c:pt idx="197">
                  <c:v>72.985180809415979</c:v>
                </c:pt>
                <c:pt idx="198">
                  <c:v>72.730088755765948</c:v>
                </c:pt>
                <c:pt idx="199">
                  <c:v>72.476126144399473</c:v>
                </c:pt>
                <c:pt idx="200">
                  <c:v>72.223284026244571</c:v>
                </c:pt>
                <c:pt idx="201">
                  <c:v>69.706276528361499</c:v>
                </c:pt>
                <c:pt idx="202">
                  <c:v>67.297798219904948</c:v>
                </c:pt>
                <c:pt idx="203">
                  <c:v>64.989568624455643</c:v>
                </c:pt>
                <c:pt idx="204">
                  <c:v>62.774125149844679</c:v>
                </c:pt>
                <c:pt idx="205">
                  <c:v>60.644724556577103</c:v>
                </c:pt>
                <c:pt idx="206">
                  <c:v>58.595258559139026</c:v>
                </c:pt>
                <c:pt idx="207">
                  <c:v>56.620181268676909</c:v>
                </c:pt>
                <c:pt idx="208">
                  <c:v>54.714446606269696</c:v>
                </c:pt>
                <c:pt idx="209">
                  <c:v>52.873454152426369</c:v>
                </c:pt>
                <c:pt idx="210">
                  <c:v>51.093002169111855</c:v>
                </c:pt>
                <c:pt idx="211">
                  <c:v>49.36924674973843</c:v>
                </c:pt>
                <c:pt idx="212">
                  <c:v>47.698666231097441</c:v>
                </c:pt>
                <c:pt idx="213">
                  <c:v>46.078030147639517</c:v>
                </c:pt>
                <c:pt idx="214">
                  <c:v>44.504372129483521</c:v>
                </c:pt>
                <c:pt idx="215">
                  <c:v>42.974966246289867</c:v>
                </c:pt>
                <c:pt idx="216">
                  <c:v>41.487306383852889</c:v>
                </c:pt>
                <c:pt idx="217">
                  <c:v>40.03908831232647</c:v>
                </c:pt>
                <c:pt idx="218">
                  <c:v>38.628194167165262</c:v>
                </c:pt>
                <c:pt idx="219">
                  <c:v>37.252679118457685</c:v>
                </c:pt>
                <c:pt idx="220">
                  <c:v>35.910760053337157</c:v>
                </c:pt>
                <c:pt idx="221">
                  <c:v>34.60080614135174</c:v>
                </c:pt>
                <c:pt idx="222">
                  <c:v>33.321331195683179</c:v>
                </c:pt>
                <c:pt idx="223">
                  <c:v>32.070987785511484</c:v>
                </c:pt>
                <c:pt idx="224">
                  <c:v>30.848563098215024</c:v>
                </c:pt>
                <c:pt idx="225">
                  <c:v>29.652976596158748</c:v>
                </c:pt>
                <c:pt idx="226">
                  <c:v>28.483279563381657</c:v>
                </c:pt>
                <c:pt idx="227">
                  <c:v>27.338656694577903</c:v>
                </c:pt>
                <c:pt idx="228">
                  <c:v>26.218429944633129</c:v>
                </c:pt>
                <c:pt idx="229">
                  <c:v>25.122064934106465</c:v>
                </c:pt>
                <c:pt idx="230">
                  <c:v>24.049180297026695</c:v>
                </c:pt>
                <c:pt idx="231">
                  <c:v>22.99956046461892</c:v>
                </c:pt>
                <c:pt idx="232">
                  <c:v>21.973172503752522</c:v>
                </c:pt>
                <c:pt idx="233">
                  <c:v>20.970187771730405</c:v>
                </c:pt>
                <c:pt idx="234">
                  <c:v>19.99100930517039</c:v>
                </c:pt>
                <c:pt idx="235">
                  <c:v>19.036306017894148</c:v>
                </c:pt>
                <c:pt idx="236">
                  <c:v>18.107054914146616</c:v>
                </c:pt>
                <c:pt idx="237">
                  <c:v>17.204592576804639</c:v>
                </c:pt>
                <c:pt idx="238">
                  <c:v>16.330677070079574</c:v>
                </c:pt>
                <c:pt idx="239">
                  <c:v>15.487560937594855</c:v>
                </c:pt>
                <c:pt idx="240">
                  <c:v>14.678074908951153</c:v>
                </c:pt>
                <c:pt idx="241">
                  <c:v>13.905719834058443</c:v>
                </c:pt>
                <c:pt idx="242">
                  <c:v>13.17476065811284</c:v>
                </c:pt>
                <c:pt idx="243">
                  <c:v>12.490310226451943</c:v>
                </c:pt>
                <c:pt idx="244">
                  <c:v>11.858381792155576</c:v>
                </c:pt>
                <c:pt idx="245">
                  <c:v>11.285877485857</c:v>
                </c:pt>
                <c:pt idx="246">
                  <c:v>10.780467898295017</c:v>
                </c:pt>
                <c:pt idx="247">
                  <c:v>10.350311221071204</c:v>
                </c:pt>
                <c:pt idx="248">
                  <c:v>10.003569646848772</c:v>
                </c:pt>
                <c:pt idx="249">
                  <c:v>9.7477184724008943</c:v>
                </c:pt>
                <c:pt idx="250">
                  <c:v>9.588714365088471</c:v>
                </c:pt>
                <c:pt idx="251">
                  <c:v>9.5301757823968227</c:v>
                </c:pt>
                <c:pt idx="252">
                  <c:v>9.5727845176810291</c:v>
                </c:pt>
                <c:pt idx="253">
                  <c:v>9.7140913387214738</c:v>
                </c:pt>
                <c:pt idx="254">
                  <c:v>9.9487905939430092</c:v>
                </c:pt>
                <c:pt idx="255">
                  <c:v>10.269374415350145</c:v>
                </c:pt>
                <c:pt idx="256">
                  <c:v>10.666971746562503</c:v>
                </c:pt>
                <c:pt idx="257">
                  <c:v>11.132167204842247</c:v>
                </c:pt>
                <c:pt idx="258">
                  <c:v>11.655660066805209</c:v>
                </c:pt>
                <c:pt idx="259">
                  <c:v>12.228710709688674</c:v>
                </c:pt>
                <c:pt idx="260">
                  <c:v>12.843388235247078</c:v>
                </c:pt>
                <c:pt idx="261">
                  <c:v>13.492665445851067</c:v>
                </c:pt>
                <c:pt idx="262">
                  <c:v>14.170412948628632</c:v>
                </c:pt>
                <c:pt idx="263">
                  <c:v>14.871335738553242</c:v>
                </c:pt>
                <c:pt idx="264">
                  <c:v>15.5908830947631</c:v>
                </c:pt>
                <c:pt idx="265">
                  <c:v>16.325151238158906</c:v>
                </c:pt>
                <c:pt idx="266">
                  <c:v>17.070789701925108</c:v>
                </c:pt>
                <c:pt idx="267">
                  <c:v>17.82491674313783</c:v>
                </c:pt>
                <c:pt idx="268">
                  <c:v>18.585045726588621</c:v>
                </c:pt>
                <c:pt idx="269">
                  <c:v>19.349022532414502</c:v>
                </c:pt>
                <c:pt idx="270">
                  <c:v>20.114973109489444</c:v>
                </c:pt>
                <c:pt idx="271">
                  <c:v>20.8812599220099</c:v>
                </c:pt>
                <c:pt idx="272">
                  <c:v>21.646445964899314</c:v>
                </c:pt>
                <c:pt idx="273">
                  <c:v>22.409265102712208</c:v>
                </c:pt>
                <c:pt idx="274">
                  <c:v>23.168597629949737</c:v>
                </c:pt>
                <c:pt idx="275">
                  <c:v>23.923450111309762</c:v>
                </c:pt>
                <c:pt idx="276">
                  <c:v>24.672938714948728</c:v>
                </c:pt>
                <c:pt idx="277">
                  <c:v>25.416275390019827</c:v>
                </c:pt>
                <c:pt idx="278">
                  <c:v>26.152756358302781</c:v>
                </c:pt>
                <c:pt idx="279">
                  <c:v>26.881752488927237</c:v>
                </c:pt>
                <c:pt idx="280">
                  <c:v>27.602701206881797</c:v>
                </c:pt>
                <c:pt idx="281">
                  <c:v>28.31509965261554</c:v>
                </c:pt>
                <c:pt idx="282">
                  <c:v>29.018498864029251</c:v>
                </c:pt>
                <c:pt idx="283">
                  <c:v>29.71249879575819</c:v>
                </c:pt>
                <c:pt idx="284">
                  <c:v>30.396744025804161</c:v>
                </c:pt>
                <c:pt idx="285">
                  <c:v>31.070920027906688</c:v>
                </c:pt>
                <c:pt idx="286">
                  <c:v>31.734749910885274</c:v>
                </c:pt>
                <c:pt idx="287">
                  <c:v>32.387991544621052</c:v>
                </c:pt>
                <c:pt idx="288">
                  <c:v>33.030435007248116</c:v>
                </c:pt>
                <c:pt idx="289">
                  <c:v>33.661900300191071</c:v>
                </c:pt>
                <c:pt idx="290">
                  <c:v>34.28223528747337</c:v>
                </c:pt>
                <c:pt idx="291">
                  <c:v>34.891313823676654</c:v>
                </c:pt>
                <c:pt idx="292">
                  <c:v>35.489034041408601</c:v>
                </c:pt>
                <c:pt idx="293">
                  <c:v>36.07531677442018</c:v>
                </c:pt>
                <c:pt idx="294">
                  <c:v>36.650104096828791</c:v>
                </c:pt>
                <c:pt idx="295">
                  <c:v>37.21335796243352</c:v>
                </c:pt>
                <c:pt idx="296">
                  <c:v>37.765058930998443</c:v>
                </c:pt>
                <c:pt idx="297">
                  <c:v>38.305204970747035</c:v>
                </c:pt>
                <c:pt idx="298">
                  <c:v>38.833810328250479</c:v>
                </c:pt>
                <c:pt idx="299">
                  <c:v>39.350904458481303</c:v>
                </c:pt>
                <c:pt idx="300">
                  <c:v>39.856531009104714</c:v>
                </c:pt>
                <c:pt idx="301">
                  <c:v>40.35074685414331</c:v>
                </c:pt>
                <c:pt idx="302">
                  <c:v>40.833621173018606</c:v>
                </c:pt>
                <c:pt idx="303">
                  <c:v>41.305234571679463</c:v>
                </c:pt>
                <c:pt idx="304">
                  <c:v>41.765678243100552</c:v>
                </c:pt>
                <c:pt idx="305">
                  <c:v>42.215053164897235</c:v>
                </c:pt>
                <c:pt idx="306">
                  <c:v>42.653469332175526</c:v>
                </c:pt>
                <c:pt idx="307">
                  <c:v>43.081045024033372</c:v>
                </c:pt>
                <c:pt idx="308">
                  <c:v>43.497906102364986</c:v>
                </c:pt>
                <c:pt idx="309">
                  <c:v>43.904185341805579</c:v>
                </c:pt>
                <c:pt idx="310">
                  <c:v>44.3000217897971</c:v>
                </c:pt>
                <c:pt idx="311">
                  <c:v>44.685560155865751</c:v>
                </c:pt>
                <c:pt idx="312">
                  <c:v>45.060950229284757</c:v>
                </c:pt>
                <c:pt idx="313">
                  <c:v>45.426346324356125</c:v>
                </c:pt>
                <c:pt idx="314">
                  <c:v>45.781906752588384</c:v>
                </c:pt>
                <c:pt idx="315">
                  <c:v>46.127793321076396</c:v>
                </c:pt>
                <c:pt idx="316">
                  <c:v>46.464170856407584</c:v>
                </c:pt>
                <c:pt idx="317">
                  <c:v>46.791206753429449</c:v>
                </c:pt>
                <c:pt idx="318">
                  <c:v>47.109070548217183</c:v>
                </c:pt>
                <c:pt idx="319">
                  <c:v>47.417933514579978</c:v>
                </c:pt>
                <c:pt idx="320">
                  <c:v>47.717968283441856</c:v>
                </c:pt>
                <c:pt idx="321">
                  <c:v>48.009348484427676</c:v>
                </c:pt>
                <c:pt idx="322">
                  <c:v>48.29224840897956</c:v>
                </c:pt>
                <c:pt idx="323">
                  <c:v>48.566842694323178</c:v>
                </c:pt>
                <c:pt idx="324">
                  <c:v>48.833306027598134</c:v>
                </c:pt>
                <c:pt idx="325">
                  <c:v>49.091812869462203</c:v>
                </c:pt>
                <c:pt idx="326">
                  <c:v>49.342537196476449</c:v>
                </c:pt>
                <c:pt idx="327">
                  <c:v>49.585652261576108</c:v>
                </c:pt>
                <c:pt idx="328">
                  <c:v>49.821330371932689</c:v>
                </c:pt>
                <c:pt idx="329">
                  <c:v>50.049742683514047</c:v>
                </c:pt>
                <c:pt idx="330">
                  <c:v>50.271059011652717</c:v>
                </c:pt>
                <c:pt idx="331">
                  <c:v>50.485447656938163</c:v>
                </c:pt>
                <c:pt idx="332">
                  <c:v>50.693075245755033</c:v>
                </c:pt>
                <c:pt idx="333">
                  <c:v>50.894106584798259</c:v>
                </c:pt>
                <c:pt idx="334">
                  <c:v>51.08870452890573</c:v>
                </c:pt>
                <c:pt idx="335">
                  <c:v>51.277029861560464</c:v>
                </c:pt>
                <c:pt idx="336">
                  <c:v>51.45924118742689</c:v>
                </c:pt>
                <c:pt idx="337">
                  <c:v>51.635494836299763</c:v>
                </c:pt>
                <c:pt idx="338">
                  <c:v>51.805944777858798</c:v>
                </c:pt>
                <c:pt idx="339">
                  <c:v>51.97074254663805</c:v>
                </c:pt>
                <c:pt idx="340">
                  <c:v>52.130037176635497</c:v>
                </c:pt>
                <c:pt idx="341">
                  <c:v>52.283975145005293</c:v>
                </c:pt>
                <c:pt idx="342">
                  <c:v>52.284123822912555</c:v>
                </c:pt>
                <c:pt idx="343">
                  <c:v>52.2842724957627</c:v>
                </c:pt>
                <c:pt idx="344">
                  <c:v>52.284421163555876</c:v>
                </c:pt>
                <c:pt idx="345">
                  <c:v>52.284569826292206</c:v>
                </c:pt>
                <c:pt idx="346">
                  <c:v>52.28471848397183</c:v>
                </c:pt>
                <c:pt idx="347">
                  <c:v>52.284867136594897</c:v>
                </c:pt>
                <c:pt idx="348">
                  <c:v>52.28501578416153</c:v>
                </c:pt>
                <c:pt idx="349">
                  <c:v>52.285164426671869</c:v>
                </c:pt>
                <c:pt idx="350">
                  <c:v>52.285313064126051</c:v>
                </c:pt>
                <c:pt idx="351">
                  <c:v>52.285461696524223</c:v>
                </c:pt>
                <c:pt idx="352">
                  <c:v>52.285610323866514</c:v>
                </c:pt>
                <c:pt idx="353">
                  <c:v>52.285758946153052</c:v>
                </c:pt>
                <c:pt idx="354">
                  <c:v>52.285907563383986</c:v>
                </c:pt>
                <c:pt idx="355">
                  <c:v>52.286056175559452</c:v>
                </c:pt>
                <c:pt idx="356">
                  <c:v>52.286204782679576</c:v>
                </c:pt>
                <c:pt idx="357">
                  <c:v>52.286353384744501</c:v>
                </c:pt>
                <c:pt idx="358">
                  <c:v>52.286501981754363</c:v>
                </c:pt>
                <c:pt idx="359">
                  <c:v>52.286650573709309</c:v>
                </c:pt>
                <c:pt idx="360">
                  <c:v>52.286799160609462</c:v>
                </c:pt>
                <c:pt idx="361">
                  <c:v>52.286947742454963</c:v>
                </c:pt>
                <c:pt idx="362">
                  <c:v>52.287096319245954</c:v>
                </c:pt>
                <c:pt idx="363">
                  <c:v>52.287244890982571</c:v>
                </c:pt>
                <c:pt idx="364">
                  <c:v>52.287393457664948</c:v>
                </c:pt>
                <c:pt idx="365">
                  <c:v>52.287542019293213</c:v>
                </c:pt>
                <c:pt idx="366">
                  <c:v>52.287690575867515</c:v>
                </c:pt>
                <c:pt idx="367">
                  <c:v>52.287839127387997</c:v>
                </c:pt>
                <c:pt idx="368">
                  <c:v>52.287987673854779</c:v>
                </c:pt>
                <c:pt idx="369">
                  <c:v>52.288136215268004</c:v>
                </c:pt>
                <c:pt idx="370">
                  <c:v>52.288284751627806</c:v>
                </c:pt>
                <c:pt idx="371">
                  <c:v>52.288433282934328</c:v>
                </c:pt>
                <c:pt idx="372">
                  <c:v>52.288581809187704</c:v>
                </c:pt>
                <c:pt idx="373">
                  <c:v>52.28873033038807</c:v>
                </c:pt>
                <c:pt idx="374">
                  <c:v>52.288878846535574</c:v>
                </c:pt>
                <c:pt idx="375">
                  <c:v>52.289027357630331</c:v>
                </c:pt>
                <c:pt idx="376">
                  <c:v>52.289175863672497</c:v>
                </c:pt>
                <c:pt idx="377">
                  <c:v>52.289324364662207</c:v>
                </c:pt>
                <c:pt idx="378">
                  <c:v>52.289472860599581</c:v>
                </c:pt>
                <c:pt idx="379">
                  <c:v>52.289621351484762</c:v>
                </c:pt>
                <c:pt idx="380">
                  <c:v>52.289769837317905</c:v>
                </c:pt>
                <c:pt idx="381">
                  <c:v>52.289918318099126</c:v>
                </c:pt>
                <c:pt idx="382">
                  <c:v>52.290066793828565</c:v>
                </c:pt>
                <c:pt idx="383">
                  <c:v>52.290215264506372</c:v>
                </c:pt>
                <c:pt idx="384">
                  <c:v>52.290363730132668</c:v>
                </c:pt>
                <c:pt idx="385">
                  <c:v>52.290512190707595</c:v>
                </c:pt>
                <c:pt idx="386">
                  <c:v>52.290660646231302</c:v>
                </c:pt>
                <c:pt idx="387">
                  <c:v>52.29080909670391</c:v>
                </c:pt>
                <c:pt idx="388">
                  <c:v>52.290957542125554</c:v>
                </c:pt>
                <c:pt idx="389">
                  <c:v>52.291105982496383</c:v>
                </c:pt>
                <c:pt idx="390">
                  <c:v>52.291254417816532</c:v>
                </c:pt>
                <c:pt idx="391">
                  <c:v>52.291402848086122</c:v>
                </c:pt>
                <c:pt idx="392">
                  <c:v>52.291551273305309</c:v>
                </c:pt>
                <c:pt idx="393">
                  <c:v>52.291699693474222</c:v>
                </c:pt>
                <c:pt idx="394">
                  <c:v>52.291848108592994</c:v>
                </c:pt>
                <c:pt idx="395">
                  <c:v>52.291996518661769</c:v>
                </c:pt>
                <c:pt idx="396">
                  <c:v>52.292144923680688</c:v>
                </c:pt>
                <c:pt idx="397">
                  <c:v>52.292293323649872</c:v>
                </c:pt>
                <c:pt idx="398">
                  <c:v>52.292441718569471</c:v>
                </c:pt>
                <c:pt idx="399">
                  <c:v>52.292590108439612</c:v>
                </c:pt>
                <c:pt idx="400">
                  <c:v>52.292738493260437</c:v>
                </c:pt>
                <c:pt idx="401">
                  <c:v>52.292886873032081</c:v>
                </c:pt>
                <c:pt idx="402">
                  <c:v>52.293035247754688</c:v>
                </c:pt>
                <c:pt idx="403">
                  <c:v>52.293183617428383</c:v>
                </c:pt>
                <c:pt idx="404">
                  <c:v>52.29333198205331</c:v>
                </c:pt>
                <c:pt idx="405">
                  <c:v>52.293480341629603</c:v>
                </c:pt>
                <c:pt idx="406">
                  <c:v>52.293628696157405</c:v>
                </c:pt>
                <c:pt idx="407">
                  <c:v>52.293777045636837</c:v>
                </c:pt>
                <c:pt idx="408">
                  <c:v>52.293925390068054</c:v>
                </c:pt>
                <c:pt idx="409">
                  <c:v>52.294073729451185</c:v>
                </c:pt>
                <c:pt idx="410">
                  <c:v>52.294222063786357</c:v>
                </c:pt>
                <c:pt idx="411">
                  <c:v>52.29437039307372</c:v>
                </c:pt>
                <c:pt idx="412">
                  <c:v>52.294518717313409</c:v>
                </c:pt>
                <c:pt idx="413">
                  <c:v>52.294667036505565</c:v>
                </c:pt>
                <c:pt idx="414">
                  <c:v>52.29481535065031</c:v>
                </c:pt>
                <c:pt idx="415">
                  <c:v>52.294963659747793</c:v>
                </c:pt>
                <c:pt idx="416">
                  <c:v>52.295111963798142</c:v>
                </c:pt>
                <c:pt idx="417">
                  <c:v>52.295260262801506</c:v>
                </c:pt>
                <c:pt idx="418">
                  <c:v>52.295408556758005</c:v>
                </c:pt>
                <c:pt idx="419">
                  <c:v>52.295556845667797</c:v>
                </c:pt>
                <c:pt idx="420">
                  <c:v>52.295705129530987</c:v>
                </c:pt>
                <c:pt idx="421">
                  <c:v>52.295853408347746</c:v>
                </c:pt>
                <c:pt idx="422">
                  <c:v>52.296001682118188</c:v>
                </c:pt>
                <c:pt idx="423">
                  <c:v>52.296149950842455</c:v>
                </c:pt>
                <c:pt idx="424">
                  <c:v>52.296298214520689</c:v>
                </c:pt>
                <c:pt idx="425">
                  <c:v>52.296446473153033</c:v>
                </c:pt>
                <c:pt idx="426">
                  <c:v>52.296594726739599</c:v>
                </c:pt>
                <c:pt idx="427">
                  <c:v>52.296742975280544</c:v>
                </c:pt>
                <c:pt idx="428">
                  <c:v>52.296891218776004</c:v>
                </c:pt>
                <c:pt idx="429">
                  <c:v>52.297039457226106</c:v>
                </c:pt>
                <c:pt idx="430">
                  <c:v>52.297187690630992</c:v>
                </c:pt>
                <c:pt idx="431">
                  <c:v>52.297335918990804</c:v>
                </c:pt>
                <c:pt idx="432">
                  <c:v>52.297484142305663</c:v>
                </c:pt>
                <c:pt idx="433">
                  <c:v>52.297632360575726</c:v>
                </c:pt>
                <c:pt idx="434">
                  <c:v>52.297780573801113</c:v>
                </c:pt>
                <c:pt idx="435">
                  <c:v>52.297928781981966</c:v>
                </c:pt>
                <c:pt idx="436">
                  <c:v>52.298076985118428</c:v>
                </c:pt>
                <c:pt idx="437">
                  <c:v>52.298225183210626</c:v>
                </c:pt>
                <c:pt idx="438">
                  <c:v>52.298373376258702</c:v>
                </c:pt>
                <c:pt idx="439">
                  <c:v>52.298521564262785</c:v>
                </c:pt>
                <c:pt idx="440">
                  <c:v>52.298669747223023</c:v>
                </c:pt>
                <c:pt idx="441">
                  <c:v>52.298817925139552</c:v>
                </c:pt>
                <c:pt idx="442">
                  <c:v>52.2989660980125</c:v>
                </c:pt>
                <c:pt idx="443">
                  <c:v>52.299114265842007</c:v>
                </c:pt>
                <c:pt idx="444">
                  <c:v>52.299262428628211</c:v>
                </c:pt>
                <c:pt idx="445">
                  <c:v>52.299410586371252</c:v>
                </c:pt>
                <c:pt idx="446">
                  <c:v>52.299558739071259</c:v>
                </c:pt>
                <c:pt idx="447">
                  <c:v>52.299706886728373</c:v>
                </c:pt>
                <c:pt idx="448">
                  <c:v>52.29985502934273</c:v>
                </c:pt>
                <c:pt idx="449">
                  <c:v>52.300003166914465</c:v>
                </c:pt>
                <c:pt idx="450">
                  <c:v>52.300151299443712</c:v>
                </c:pt>
                <c:pt idx="451">
                  <c:v>52.300299426930614</c:v>
                </c:pt>
                <c:pt idx="452">
                  <c:v>52.300447549375306</c:v>
                </c:pt>
                <c:pt idx="453">
                  <c:v>52.300595666777923</c:v>
                </c:pt>
                <c:pt idx="454">
                  <c:v>52.300743779138607</c:v>
                </c:pt>
                <c:pt idx="455">
                  <c:v>52.300891886457485</c:v>
                </c:pt>
                <c:pt idx="456">
                  <c:v>52.301039988734701</c:v>
                </c:pt>
                <c:pt idx="457">
                  <c:v>52.301188085970388</c:v>
                </c:pt>
                <c:pt idx="458">
                  <c:v>52.301336178164675</c:v>
                </c:pt>
                <c:pt idx="459">
                  <c:v>52.301484265317725</c:v>
                </c:pt>
                <c:pt idx="460">
                  <c:v>52.301632347429639</c:v>
                </c:pt>
                <c:pt idx="461">
                  <c:v>52.301780424500578</c:v>
                </c:pt>
                <c:pt idx="462">
                  <c:v>52.301928496530671</c:v>
                </c:pt>
                <c:pt idx="463">
                  <c:v>52.30207656352006</c:v>
                </c:pt>
                <c:pt idx="464">
                  <c:v>52.302224625468874</c:v>
                </c:pt>
                <c:pt idx="465">
                  <c:v>52.302372682377261</c:v>
                </c:pt>
                <c:pt idx="466">
                  <c:v>52.302520734245334</c:v>
                </c:pt>
                <c:pt idx="467">
                  <c:v>52.302668781073258</c:v>
                </c:pt>
                <c:pt idx="468">
                  <c:v>52.302816822861146</c:v>
                </c:pt>
                <c:pt idx="469">
                  <c:v>52.302964859609148</c:v>
                </c:pt>
                <c:pt idx="470">
                  <c:v>52.303112891317397</c:v>
                </c:pt>
                <c:pt idx="471">
                  <c:v>52.30326091798603</c:v>
                </c:pt>
                <c:pt idx="472">
                  <c:v>52.303408939615188</c:v>
                </c:pt>
                <c:pt idx="473">
                  <c:v>52.303556956205</c:v>
                </c:pt>
                <c:pt idx="474">
                  <c:v>52.303704967755593</c:v>
                </c:pt>
                <c:pt idx="475">
                  <c:v>52.30385297426713</c:v>
                </c:pt>
                <c:pt idx="476">
                  <c:v>52.304000975739733</c:v>
                </c:pt>
                <c:pt idx="477">
                  <c:v>52.304148972173536</c:v>
                </c:pt>
                <c:pt idx="478">
                  <c:v>52.304296963568675</c:v>
                </c:pt>
                <c:pt idx="479">
                  <c:v>52.304444949925291</c:v>
                </c:pt>
                <c:pt idx="480">
                  <c:v>52.304592931243519</c:v>
                </c:pt>
                <c:pt idx="481">
                  <c:v>52.304740907523495</c:v>
                </c:pt>
                <c:pt idx="482">
                  <c:v>52.304888878765361</c:v>
                </c:pt>
                <c:pt idx="483">
                  <c:v>52.305036844969251</c:v>
                </c:pt>
                <c:pt idx="484">
                  <c:v>52.305184806135294</c:v>
                </c:pt>
                <c:pt idx="485">
                  <c:v>52.305332762263632</c:v>
                </c:pt>
                <c:pt idx="486">
                  <c:v>52.305480713354406</c:v>
                </c:pt>
                <c:pt idx="487">
                  <c:v>52.305628659407745</c:v>
                </c:pt>
                <c:pt idx="488">
                  <c:v>52.305776600423783</c:v>
                </c:pt>
                <c:pt idx="489">
                  <c:v>52.305924536402671</c:v>
                </c:pt>
                <c:pt idx="490">
                  <c:v>52.306072467344535</c:v>
                </c:pt>
                <c:pt idx="491">
                  <c:v>52.306220393249511</c:v>
                </c:pt>
                <c:pt idx="492">
                  <c:v>52.306368314117741</c:v>
                </c:pt>
                <c:pt idx="493">
                  <c:v>52.306516229949352</c:v>
                </c:pt>
                <c:pt idx="494">
                  <c:v>52.306664140744495</c:v>
                </c:pt>
                <c:pt idx="495">
                  <c:v>52.306812046503282</c:v>
                </c:pt>
                <c:pt idx="496">
                  <c:v>52.30695994722587</c:v>
                </c:pt>
                <c:pt idx="497">
                  <c:v>52.307107842912394</c:v>
                </c:pt>
                <c:pt idx="498">
                  <c:v>52.307255733562997</c:v>
                </c:pt>
                <c:pt idx="499">
                  <c:v>52.307403619177791</c:v>
                </c:pt>
                <c:pt idx="500">
                  <c:v>52.307551499756933</c:v>
                </c:pt>
                <c:pt idx="501">
                  <c:v>52.307699375300551</c:v>
                </c:pt>
                <c:pt idx="502">
                  <c:v>52.30784724580878</c:v>
                </c:pt>
                <c:pt idx="503">
                  <c:v>52.30799511128177</c:v>
                </c:pt>
                <c:pt idx="504">
                  <c:v>52.30814297171964</c:v>
                </c:pt>
                <c:pt idx="505">
                  <c:v>52.308290827122548</c:v>
                </c:pt>
                <c:pt idx="506">
                  <c:v>52.308438677490606</c:v>
                </c:pt>
                <c:pt idx="507">
                  <c:v>52.308586522823965</c:v>
                </c:pt>
                <c:pt idx="508">
                  <c:v>52.308734363122753</c:v>
                </c:pt>
                <c:pt idx="509">
                  <c:v>52.308882198387117</c:v>
                </c:pt>
                <c:pt idx="510">
                  <c:v>52.30903002861718</c:v>
                </c:pt>
                <c:pt idx="511">
                  <c:v>52.309177853813097</c:v>
                </c:pt>
                <c:pt idx="512">
                  <c:v>52.309325673974982</c:v>
                </c:pt>
                <c:pt idx="513">
                  <c:v>52.309473489102992</c:v>
                </c:pt>
                <c:pt idx="514">
                  <c:v>52.309621299197246</c:v>
                </c:pt>
                <c:pt idx="515">
                  <c:v>52.309769104257896</c:v>
                </c:pt>
                <c:pt idx="516">
                  <c:v>52.309916904285068</c:v>
                </c:pt>
                <c:pt idx="517">
                  <c:v>52.310064699278904</c:v>
                </c:pt>
                <c:pt idx="518">
                  <c:v>52.310212489239539</c:v>
                </c:pt>
                <c:pt idx="519">
                  <c:v>52.31036027416711</c:v>
                </c:pt>
                <c:pt idx="520">
                  <c:v>52.310508054061749</c:v>
                </c:pt>
                <c:pt idx="521">
                  <c:v>52.310655828923586</c:v>
                </c:pt>
                <c:pt idx="522">
                  <c:v>52.31080359875277</c:v>
                </c:pt>
                <c:pt idx="523">
                  <c:v>52.310951363549442</c:v>
                </c:pt>
                <c:pt idx="524">
                  <c:v>52.311099123313731</c:v>
                </c:pt>
                <c:pt idx="525">
                  <c:v>52.311246878045765</c:v>
                </c:pt>
                <c:pt idx="526">
                  <c:v>52.311394627745685</c:v>
                </c:pt>
                <c:pt idx="527">
                  <c:v>52.311542372413641</c:v>
                </c:pt>
                <c:pt idx="528">
                  <c:v>52.311690112049753</c:v>
                </c:pt>
                <c:pt idx="529">
                  <c:v>52.311837846654171</c:v>
                </c:pt>
                <c:pt idx="530">
                  <c:v>52.311985576227016</c:v>
                </c:pt>
                <c:pt idx="531">
                  <c:v>52.31213330076843</c:v>
                </c:pt>
                <c:pt idx="532">
                  <c:v>52.312281020278554</c:v>
                </c:pt>
                <c:pt idx="533">
                  <c:v>52.312428734757525</c:v>
                </c:pt>
                <c:pt idx="534">
                  <c:v>52.312576444205476</c:v>
                </c:pt>
                <c:pt idx="535">
                  <c:v>52.312724148622543</c:v>
                </c:pt>
                <c:pt idx="536">
                  <c:v>52.312871848008861</c:v>
                </c:pt>
                <c:pt idx="537">
                  <c:v>52.313019542364565</c:v>
                </c:pt>
                <c:pt idx="538">
                  <c:v>52.31316723168981</c:v>
                </c:pt>
                <c:pt idx="539">
                  <c:v>52.313314915984705</c:v>
                </c:pt>
                <c:pt idx="540">
                  <c:v>52.313462595249398</c:v>
                </c:pt>
                <c:pt idx="541">
                  <c:v>52.31361026948403</c:v>
                </c:pt>
                <c:pt idx="542">
                  <c:v>52.313757938688731</c:v>
                </c:pt>
                <c:pt idx="543">
                  <c:v>52.313905602863642</c:v>
                </c:pt>
                <c:pt idx="544">
                  <c:v>52.314053262008898</c:v>
                </c:pt>
                <c:pt idx="545">
                  <c:v>52.314200916124626</c:v>
                </c:pt>
                <c:pt idx="546">
                  <c:v>52.314348565210977</c:v>
                </c:pt>
                <c:pt idx="547">
                  <c:v>52.314496209268079</c:v>
                </c:pt>
                <c:pt idx="548">
                  <c:v>52.314643848296065</c:v>
                </c:pt>
                <c:pt idx="549">
                  <c:v>52.314791482295085</c:v>
                </c:pt>
                <c:pt idx="550">
                  <c:v>52.314939111265268</c:v>
                </c:pt>
                <c:pt idx="551">
                  <c:v>52.315086735206748</c:v>
                </c:pt>
                <c:pt idx="552">
                  <c:v>52.31523435411966</c:v>
                </c:pt>
                <c:pt idx="553">
                  <c:v>52.315381968004147</c:v>
                </c:pt>
                <c:pt idx="554">
                  <c:v>52.315529576860335</c:v>
                </c:pt>
                <c:pt idx="555">
                  <c:v>52.315677180688368</c:v>
                </c:pt>
                <c:pt idx="556">
                  <c:v>52.315824779488381</c:v>
                </c:pt>
                <c:pt idx="557">
                  <c:v>52.315972373260514</c:v>
                </c:pt>
                <c:pt idx="558">
                  <c:v>52.31611996200489</c:v>
                </c:pt>
                <c:pt idx="559">
                  <c:v>52.316267545721665</c:v>
                </c:pt>
                <c:pt idx="560">
                  <c:v>52.316415124410966</c:v>
                </c:pt>
                <c:pt idx="561">
                  <c:v>52.316562698072921</c:v>
                </c:pt>
                <c:pt idx="562">
                  <c:v>52.316710266707673</c:v>
                </c:pt>
                <c:pt idx="563">
                  <c:v>52.316857830315357</c:v>
                </c:pt>
                <c:pt idx="564">
                  <c:v>52.317005388896121</c:v>
                </c:pt>
                <c:pt idx="565">
                  <c:v>52.317152942450086</c:v>
                </c:pt>
                <c:pt idx="566">
                  <c:v>52.317300490977395</c:v>
                </c:pt>
                <c:pt idx="567">
                  <c:v>52.317448034478176</c:v>
                </c:pt>
                <c:pt idx="568">
                  <c:v>52.317595572952584</c:v>
                </c:pt>
                <c:pt idx="569">
                  <c:v>52.317743106400741</c:v>
                </c:pt>
                <c:pt idx="570">
                  <c:v>52.317890634822781</c:v>
                </c:pt>
                <c:pt idx="571">
                  <c:v>52.318038158218847</c:v>
                </c:pt>
                <c:pt idx="572">
                  <c:v>52.318185676589074</c:v>
                </c:pt>
                <c:pt idx="573">
                  <c:v>52.318333189933597</c:v>
                </c:pt>
                <c:pt idx="574">
                  <c:v>52.318480698252557</c:v>
                </c:pt>
                <c:pt idx="575">
                  <c:v>52.318628201546083</c:v>
                </c:pt>
                <c:pt idx="576">
                  <c:v>52.318775699814324</c:v>
                </c:pt>
                <c:pt idx="577">
                  <c:v>52.318923193057394</c:v>
                </c:pt>
                <c:pt idx="578">
                  <c:v>52.319070681275448</c:v>
                </c:pt>
                <c:pt idx="579">
                  <c:v>52.319218164468616</c:v>
                </c:pt>
                <c:pt idx="580">
                  <c:v>52.319365642637031</c:v>
                </c:pt>
                <c:pt idx="581">
                  <c:v>52.319513115780836</c:v>
                </c:pt>
                <c:pt idx="582">
                  <c:v>52.319660583900173</c:v>
                </c:pt>
                <c:pt idx="583">
                  <c:v>52.319808046995149</c:v>
                </c:pt>
                <c:pt idx="584">
                  <c:v>52.319955505065941</c:v>
                </c:pt>
                <c:pt idx="585">
                  <c:v>52.320102958112656</c:v>
                </c:pt>
                <c:pt idx="586">
                  <c:v>52.320250406135443</c:v>
                </c:pt>
                <c:pt idx="587">
                  <c:v>52.320397849134423</c:v>
                </c:pt>
                <c:pt idx="588">
                  <c:v>52.320545287109745</c:v>
                </c:pt>
                <c:pt idx="589">
                  <c:v>52.320692720061551</c:v>
                </c:pt>
                <c:pt idx="590">
                  <c:v>52.320840147989962</c:v>
                </c:pt>
                <c:pt idx="591">
                  <c:v>52.320987570895127</c:v>
                </c:pt>
                <c:pt idx="592">
                  <c:v>52.321134988777182</c:v>
                </c:pt>
                <c:pt idx="593">
                  <c:v>52.321282401636253</c:v>
                </c:pt>
                <c:pt idx="594">
                  <c:v>52.321429809472484</c:v>
                </c:pt>
                <c:pt idx="595">
                  <c:v>52.321577212286009</c:v>
                </c:pt>
                <c:pt idx="596">
                  <c:v>52.321724610076963</c:v>
                </c:pt>
                <c:pt idx="597">
                  <c:v>52.321872002845488</c:v>
                </c:pt>
                <c:pt idx="598">
                  <c:v>52.32201939059172</c:v>
                </c:pt>
                <c:pt idx="599">
                  <c:v>52.322166773315786</c:v>
                </c:pt>
                <c:pt idx="600">
                  <c:v>52.322314151017821</c:v>
                </c:pt>
                <c:pt idx="601">
                  <c:v>52.322461523697974</c:v>
                </c:pt>
                <c:pt idx="602">
                  <c:v>52.322608891356381</c:v>
                </c:pt>
                <c:pt idx="603">
                  <c:v>52.322756253993163</c:v>
                </c:pt>
                <c:pt idx="604">
                  <c:v>52.322903611608467</c:v>
                </c:pt>
                <c:pt idx="605">
                  <c:v>52.32305096420243</c:v>
                </c:pt>
                <c:pt idx="606">
                  <c:v>52.32319831177518</c:v>
                </c:pt>
                <c:pt idx="607">
                  <c:v>52.323345654326864</c:v>
                </c:pt>
                <c:pt idx="608">
                  <c:v>52.323492991857613</c:v>
                </c:pt>
                <c:pt idx="609">
                  <c:v>52.32364032436756</c:v>
                </c:pt>
                <c:pt idx="610">
                  <c:v>52.32378765185684</c:v>
                </c:pt>
                <c:pt idx="611">
                  <c:v>52.323934974325603</c:v>
                </c:pt>
                <c:pt idx="612">
                  <c:v>52.324082291773969</c:v>
                </c:pt>
                <c:pt idx="613">
                  <c:v>52.324229604202088</c:v>
                </c:pt>
                <c:pt idx="614">
                  <c:v>52.324376911610081</c:v>
                </c:pt>
                <c:pt idx="615">
                  <c:v>52.324524213998089</c:v>
                </c:pt>
                <c:pt idx="616">
                  <c:v>52.324671511366255</c:v>
                </c:pt>
                <c:pt idx="617">
                  <c:v>52.324818803714706</c:v>
                </c:pt>
                <c:pt idx="618">
                  <c:v>52.324966091043585</c:v>
                </c:pt>
                <c:pt idx="619">
                  <c:v>52.325113373353027</c:v>
                </c:pt>
                <c:pt idx="620">
                  <c:v>52.325260650643173</c:v>
                </c:pt>
                <c:pt idx="621">
                  <c:v>52.32540792291416</c:v>
                </c:pt>
                <c:pt idx="622">
                  <c:v>52.325555190166106</c:v>
                </c:pt>
                <c:pt idx="623">
                  <c:v>52.32570245239917</c:v>
                </c:pt>
                <c:pt idx="624">
                  <c:v>52.325849709613472</c:v>
                </c:pt>
                <c:pt idx="625">
                  <c:v>52.325996961809146</c:v>
                </c:pt>
                <c:pt idx="626">
                  <c:v>52.326144208986349</c:v>
                </c:pt>
                <c:pt idx="627">
                  <c:v>52.326291451145202</c:v>
                </c:pt>
                <c:pt idx="628">
                  <c:v>52.32643868828584</c:v>
                </c:pt>
                <c:pt idx="629">
                  <c:v>52.326585920408398</c:v>
                </c:pt>
                <c:pt idx="630">
                  <c:v>52.326733147513025</c:v>
                </c:pt>
                <c:pt idx="631">
                  <c:v>52.326880369599841</c:v>
                </c:pt>
                <c:pt idx="632">
                  <c:v>52.32702758666899</c:v>
                </c:pt>
                <c:pt idx="633">
                  <c:v>52.327174798720613</c:v>
                </c:pt>
                <c:pt idx="634">
                  <c:v>52.32732200575483</c:v>
                </c:pt>
                <c:pt idx="635">
                  <c:v>52.327469207771799</c:v>
                </c:pt>
                <c:pt idx="636">
                  <c:v>52.327616404771639</c:v>
                </c:pt>
                <c:pt idx="637">
                  <c:v>52.327763596754494</c:v>
                </c:pt>
                <c:pt idx="638">
                  <c:v>52.32791078372049</c:v>
                </c:pt>
                <c:pt idx="639">
                  <c:v>52.328057965669778</c:v>
                </c:pt>
                <c:pt idx="640">
                  <c:v>52.328205142602492</c:v>
                </c:pt>
                <c:pt idx="641">
                  <c:v>52.32835231451876</c:v>
                </c:pt>
                <c:pt idx="642">
                  <c:v>52.328499481418724</c:v>
                </c:pt>
                <c:pt idx="643">
                  <c:v>52.328646643302513</c:v>
                </c:pt>
                <c:pt idx="644">
                  <c:v>52.328793800170267</c:v>
                </c:pt>
                <c:pt idx="645">
                  <c:v>52.32894095202213</c:v>
                </c:pt>
                <c:pt idx="646">
                  <c:v>52.329088098858222</c:v>
                </c:pt>
                <c:pt idx="647">
                  <c:v>52.329235240678692</c:v>
                </c:pt>
                <c:pt idx="648">
                  <c:v>52.329382377483675</c:v>
                </c:pt>
                <c:pt idx="649">
                  <c:v>52.329529509273307</c:v>
                </c:pt>
                <c:pt idx="650">
                  <c:v>52.329676636047708</c:v>
                </c:pt>
                <c:pt idx="651">
                  <c:v>52.329823757807034</c:v>
                </c:pt>
                <c:pt idx="652">
                  <c:v>52.329970874551421</c:v>
                </c:pt>
                <c:pt idx="653">
                  <c:v>52.330117986280989</c:v>
                </c:pt>
                <c:pt idx="654">
                  <c:v>52.330265092995894</c:v>
                </c:pt>
                <c:pt idx="655">
                  <c:v>52.330412194696251</c:v>
                </c:pt>
                <c:pt idx="656">
                  <c:v>52.330559291382208</c:v>
                </c:pt>
                <c:pt idx="657">
                  <c:v>52.330706383053901</c:v>
                </c:pt>
                <c:pt idx="658">
                  <c:v>52.330853469711457</c:v>
                </c:pt>
                <c:pt idx="659">
                  <c:v>52.331000551355032</c:v>
                </c:pt>
                <c:pt idx="660">
                  <c:v>52.331147627984748</c:v>
                </c:pt>
                <c:pt idx="661">
                  <c:v>52.331294699600747</c:v>
                </c:pt>
                <c:pt idx="662">
                  <c:v>52.331441766203149</c:v>
                </c:pt>
                <c:pt idx="663">
                  <c:v>52.33158882779211</c:v>
                </c:pt>
                <c:pt idx="664">
                  <c:v>52.33173588436776</c:v>
                </c:pt>
                <c:pt idx="665">
                  <c:v>52.331882935930231</c:v>
                </c:pt>
                <c:pt idx="666">
                  <c:v>52.332029982479661</c:v>
                </c:pt>
                <c:pt idx="667">
                  <c:v>52.332177024016183</c:v>
                </c:pt>
                <c:pt idx="668">
                  <c:v>52.332324060539939</c:v>
                </c:pt>
                <c:pt idx="669">
                  <c:v>52.332471092051065</c:v>
                </c:pt>
                <c:pt idx="670">
                  <c:v>52.332618118549682</c:v>
                </c:pt>
                <c:pt idx="671">
                  <c:v>52.332765140035946</c:v>
                </c:pt>
                <c:pt idx="672">
                  <c:v>52.332912156509984</c:v>
                </c:pt>
                <c:pt idx="673">
                  <c:v>52.333059167971932</c:v>
                </c:pt>
                <c:pt idx="674">
                  <c:v>52.333206174421932</c:v>
                </c:pt>
                <c:pt idx="675">
                  <c:v>52.333353175860111</c:v>
                </c:pt>
                <c:pt idx="676">
                  <c:v>52.333500172286612</c:v>
                </c:pt>
                <c:pt idx="677">
                  <c:v>52.333647163701571</c:v>
                </c:pt>
                <c:pt idx="678">
                  <c:v>52.333794150105113</c:v>
                </c:pt>
                <c:pt idx="679">
                  <c:v>52.33394113149739</c:v>
                </c:pt>
                <c:pt idx="680">
                  <c:v>52.334088107878529</c:v>
                </c:pt>
                <c:pt idx="681">
                  <c:v>52.334235079248664</c:v>
                </c:pt>
                <c:pt idx="682">
                  <c:v>52.334382045607946</c:v>
                </c:pt>
                <c:pt idx="683">
                  <c:v>52.334529006956487</c:v>
                </c:pt>
                <c:pt idx="684">
                  <c:v>52.334675963294437</c:v>
                </c:pt>
                <c:pt idx="685">
                  <c:v>52.334822914621931</c:v>
                </c:pt>
                <c:pt idx="686">
                  <c:v>52.334969860939111</c:v>
                </c:pt>
                <c:pt idx="687">
                  <c:v>52.335116802246098</c:v>
                </c:pt>
                <c:pt idx="688">
                  <c:v>52.335263738543048</c:v>
                </c:pt>
                <c:pt idx="689">
                  <c:v>52.335410669830075</c:v>
                </c:pt>
                <c:pt idx="690">
                  <c:v>52.335557596107314</c:v>
                </c:pt>
                <c:pt idx="691">
                  <c:v>52.335704517374928</c:v>
                </c:pt>
                <c:pt idx="692">
                  <c:v>52.335851433633039</c:v>
                </c:pt>
                <c:pt idx="693">
                  <c:v>52.335998344881773</c:v>
                </c:pt>
                <c:pt idx="694">
                  <c:v>52.33614525112128</c:v>
                </c:pt>
                <c:pt idx="695">
                  <c:v>52.336292152351682</c:v>
                </c:pt>
                <c:pt idx="696">
                  <c:v>52.336439048573126</c:v>
                </c:pt>
                <c:pt idx="697">
                  <c:v>52.336585939785749</c:v>
                </c:pt>
                <c:pt idx="698">
                  <c:v>52.336732825989678</c:v>
                </c:pt>
                <c:pt idx="699">
                  <c:v>52.336879707185062</c:v>
                </c:pt>
                <c:pt idx="700">
                  <c:v>52.337026583372023</c:v>
                </c:pt>
                <c:pt idx="701">
                  <c:v>52.337173454550701</c:v>
                </c:pt>
                <c:pt idx="702">
                  <c:v>52.337320320721233</c:v>
                </c:pt>
                <c:pt idx="703">
                  <c:v>52.33746718188376</c:v>
                </c:pt>
                <c:pt idx="704">
                  <c:v>52.337614038038417</c:v>
                </c:pt>
                <c:pt idx="705">
                  <c:v>52.337760889185333</c:v>
                </c:pt>
                <c:pt idx="706">
                  <c:v>52.337907735324642</c:v>
                </c:pt>
                <c:pt idx="707">
                  <c:v>52.338054576456486</c:v>
                </c:pt>
                <c:pt idx="708">
                  <c:v>52.338201412581007</c:v>
                </c:pt>
                <c:pt idx="709">
                  <c:v>52.338348243698327</c:v>
                </c:pt>
                <c:pt idx="710">
                  <c:v>52.338495069808594</c:v>
                </c:pt>
                <c:pt idx="711">
                  <c:v>52.338641890911937</c:v>
                </c:pt>
                <c:pt idx="712">
                  <c:v>52.338788707008497</c:v>
                </c:pt>
                <c:pt idx="713">
                  <c:v>52.338935518098403</c:v>
                </c:pt>
                <c:pt idx="714">
                  <c:v>52.339082324181803</c:v>
                </c:pt>
                <c:pt idx="715">
                  <c:v>52.339229125258818</c:v>
                </c:pt>
                <c:pt idx="716">
                  <c:v>52.339375921329591</c:v>
                </c:pt>
                <c:pt idx="717">
                  <c:v>52.339522712394256</c:v>
                </c:pt>
                <c:pt idx="718">
                  <c:v>52.339669498452942</c:v>
                </c:pt>
                <c:pt idx="719">
                  <c:v>52.339816279505804</c:v>
                </c:pt>
                <c:pt idx="720">
                  <c:v>52.339963055552964</c:v>
                </c:pt>
                <c:pt idx="721">
                  <c:v>52.340109826594563</c:v>
                </c:pt>
                <c:pt idx="722">
                  <c:v>52.340256592630737</c:v>
                </c:pt>
                <c:pt idx="723">
                  <c:v>52.340403353661614</c:v>
                </c:pt>
                <c:pt idx="724">
                  <c:v>52.340550109687342</c:v>
                </c:pt>
                <c:pt idx="725">
                  <c:v>52.340696860708043</c:v>
                </c:pt>
                <c:pt idx="726">
                  <c:v>52.340843606723865</c:v>
                </c:pt>
                <c:pt idx="727">
                  <c:v>52.340990347734937</c:v>
                </c:pt>
                <c:pt idx="728">
                  <c:v>52.341137083741401</c:v>
                </c:pt>
                <c:pt idx="729">
                  <c:v>52.341283814743392</c:v>
                </c:pt>
                <c:pt idx="730">
                  <c:v>52.341430540741037</c:v>
                </c:pt>
                <c:pt idx="731">
                  <c:v>52.341577261734486</c:v>
                </c:pt>
                <c:pt idx="732">
                  <c:v>52.341723977723859</c:v>
                </c:pt>
                <c:pt idx="733">
                  <c:v>52.341870688709307</c:v>
                </c:pt>
                <c:pt idx="734">
                  <c:v>52.342017394690949</c:v>
                </c:pt>
                <c:pt idx="735">
                  <c:v>52.342164095668942</c:v>
                </c:pt>
                <c:pt idx="736">
                  <c:v>52.342310791643406</c:v>
                </c:pt>
                <c:pt idx="737">
                  <c:v>52.342457482614478</c:v>
                </c:pt>
                <c:pt idx="738">
                  <c:v>52.342604168582305</c:v>
                </c:pt>
                <c:pt idx="739">
                  <c:v>52.342750849546995</c:v>
                </c:pt>
                <c:pt idx="740">
                  <c:v>52.342897525508718</c:v>
                </c:pt>
                <c:pt idx="741">
                  <c:v>52.343044196467595</c:v>
                </c:pt>
                <c:pt idx="742">
                  <c:v>52.343190862423761</c:v>
                </c:pt>
                <c:pt idx="743">
                  <c:v>52.343337523377357</c:v>
                </c:pt>
                <c:pt idx="744">
                  <c:v>52.343484179328506</c:v>
                </c:pt>
                <c:pt idx="745">
                  <c:v>52.343630830277355</c:v>
                </c:pt>
                <c:pt idx="746">
                  <c:v>52.343777476224041</c:v>
                </c:pt>
                <c:pt idx="747">
                  <c:v>52.343924117168697</c:v>
                </c:pt>
                <c:pt idx="748">
                  <c:v>52.344070753111453</c:v>
                </c:pt>
                <c:pt idx="749">
                  <c:v>52.344217384052456</c:v>
                </c:pt>
                <c:pt idx="750">
                  <c:v>52.344364009991835</c:v>
                </c:pt>
                <c:pt idx="751">
                  <c:v>52.344510630929726</c:v>
                </c:pt>
                <c:pt idx="752">
                  <c:v>52.344657246866262</c:v>
                </c:pt>
                <c:pt idx="753">
                  <c:v>52.34480385780158</c:v>
                </c:pt>
                <c:pt idx="754">
                  <c:v>52.344950463735827</c:v>
                </c:pt>
                <c:pt idx="755">
                  <c:v>52.345097064669126</c:v>
                </c:pt>
                <c:pt idx="756">
                  <c:v>52.345243660601611</c:v>
                </c:pt>
                <c:pt idx="757">
                  <c:v>52.345390251533431</c:v>
                </c:pt>
                <c:pt idx="758">
                  <c:v>52.345536837464714</c:v>
                </c:pt>
                <c:pt idx="759">
                  <c:v>52.345683418395595</c:v>
                </c:pt>
                <c:pt idx="760">
                  <c:v>52.345829994326209</c:v>
                </c:pt>
                <c:pt idx="761">
                  <c:v>52.345976565256699</c:v>
                </c:pt>
                <c:pt idx="762">
                  <c:v>52.346123131187191</c:v>
                </c:pt>
                <c:pt idx="763">
                  <c:v>52.346269692117836</c:v>
                </c:pt>
                <c:pt idx="764">
                  <c:v>52.346416248048747</c:v>
                </c:pt>
                <c:pt idx="765">
                  <c:v>52.346562798980074</c:v>
                </c:pt>
                <c:pt idx="766">
                  <c:v>52.34670934491195</c:v>
                </c:pt>
                <c:pt idx="767">
                  <c:v>52.346855885844512</c:v>
                </c:pt>
                <c:pt idx="768">
                  <c:v>52.347002421777894</c:v>
                </c:pt>
                <c:pt idx="769">
                  <c:v>52.347148952712224</c:v>
                </c:pt>
                <c:pt idx="770">
                  <c:v>52.347295478647666</c:v>
                </c:pt>
                <c:pt idx="771">
                  <c:v>52.347441999584333</c:v>
                </c:pt>
                <c:pt idx="772">
                  <c:v>52.347588515522354</c:v>
                </c:pt>
                <c:pt idx="773">
                  <c:v>52.347735026461891</c:v>
                </c:pt>
                <c:pt idx="774">
                  <c:v>52.347881532403051</c:v>
                </c:pt>
                <c:pt idx="775">
                  <c:v>52.348028033345983</c:v>
                </c:pt>
                <c:pt idx="776">
                  <c:v>52.348174529290823</c:v>
                </c:pt>
                <c:pt idx="777">
                  <c:v>52.348321020237705</c:v>
                </c:pt>
                <c:pt idx="778">
                  <c:v>52.348467506186765</c:v>
                </c:pt>
                <c:pt idx="779">
                  <c:v>52.348613987138144</c:v>
                </c:pt>
                <c:pt idx="780">
                  <c:v>52.348760463091978</c:v>
                </c:pt>
                <c:pt idx="781">
                  <c:v>52.348906934048394</c:v>
                </c:pt>
                <c:pt idx="782">
                  <c:v>52.349053400007527</c:v>
                </c:pt>
                <c:pt idx="783">
                  <c:v>52.34919986096952</c:v>
                </c:pt>
                <c:pt idx="784">
                  <c:v>52.349346316934508</c:v>
                </c:pt>
                <c:pt idx="785">
                  <c:v>52.349492767902625</c:v>
                </c:pt>
                <c:pt idx="786">
                  <c:v>52.349639213874006</c:v>
                </c:pt>
                <c:pt idx="787">
                  <c:v>52.349785654848795</c:v>
                </c:pt>
                <c:pt idx="788">
                  <c:v>52.349932090827103</c:v>
                </c:pt>
                <c:pt idx="789">
                  <c:v>52.350078521809095</c:v>
                </c:pt>
                <c:pt idx="790">
                  <c:v>52.350224947794899</c:v>
                </c:pt>
                <c:pt idx="791">
                  <c:v>52.350371368784636</c:v>
                </c:pt>
                <c:pt idx="792">
                  <c:v>52.350517784778461</c:v>
                </c:pt>
                <c:pt idx="793">
                  <c:v>52.350664195776496</c:v>
                </c:pt>
                <c:pt idx="794">
                  <c:v>52.350810601778875</c:v>
                </c:pt>
                <c:pt idx="795">
                  <c:v>52.350957002785748</c:v>
                </c:pt>
                <c:pt idx="796">
                  <c:v>52.351103398797243</c:v>
                </c:pt>
                <c:pt idx="797">
                  <c:v>52.351249789813494</c:v>
                </c:pt>
                <c:pt idx="798">
                  <c:v>52.351396175834644</c:v>
                </c:pt>
                <c:pt idx="799">
                  <c:v>52.351542556860814</c:v>
                </c:pt>
                <c:pt idx="800">
                  <c:v>52.351688932892159</c:v>
                </c:pt>
                <c:pt idx="801">
                  <c:v>52.351835303928794</c:v>
                </c:pt>
                <c:pt idx="802">
                  <c:v>52.351981669970868</c:v>
                </c:pt>
                <c:pt idx="803">
                  <c:v>52.352128031018516</c:v>
                </c:pt>
                <c:pt idx="804">
                  <c:v>52.352274387071866</c:v>
                </c:pt>
                <c:pt idx="805">
                  <c:v>52.352420738131059</c:v>
                </c:pt>
                <c:pt idx="806">
                  <c:v>52.352567084196238</c:v>
                </c:pt>
                <c:pt idx="807">
                  <c:v>52.352713425267524</c:v>
                </c:pt>
                <c:pt idx="808">
                  <c:v>52.352859761345066</c:v>
                </c:pt>
                <c:pt idx="809">
                  <c:v>52.353006092428991</c:v>
                </c:pt>
                <c:pt idx="810">
                  <c:v>52.353152418519443</c:v>
                </c:pt>
                <c:pt idx="811">
                  <c:v>52.353298739616548</c:v>
                </c:pt>
                <c:pt idx="812">
                  <c:v>52.353445055720442</c:v>
                </c:pt>
                <c:pt idx="813">
                  <c:v>52.353591366831267</c:v>
                </c:pt>
                <c:pt idx="814">
                  <c:v>52.353737672949158</c:v>
                </c:pt>
                <c:pt idx="815">
                  <c:v>52.35388397407425</c:v>
                </c:pt>
                <c:pt idx="816">
                  <c:v>52.354030270206671</c:v>
                </c:pt>
                <c:pt idx="817">
                  <c:v>52.35417656134657</c:v>
                </c:pt>
                <c:pt idx="818">
                  <c:v>52.354322847494075</c:v>
                </c:pt>
                <c:pt idx="819">
                  <c:v>52.35446912864932</c:v>
                </c:pt>
                <c:pt idx="820">
                  <c:v>52.354615404812435</c:v>
                </c:pt>
                <c:pt idx="821">
                  <c:v>52.354761675983575</c:v>
                </c:pt>
                <c:pt idx="822">
                  <c:v>52.35490794216286</c:v>
                </c:pt>
                <c:pt idx="823">
                  <c:v>52.355054203350427</c:v>
                </c:pt>
                <c:pt idx="824">
                  <c:v>52.355200459546417</c:v>
                </c:pt>
                <c:pt idx="825">
                  <c:v>52.355346710750965</c:v>
                </c:pt>
                <c:pt idx="826">
                  <c:v>52.355492956964206</c:v>
                </c:pt>
                <c:pt idx="827">
                  <c:v>52.355639198186267</c:v>
                </c:pt>
                <c:pt idx="828">
                  <c:v>52.355785434417299</c:v>
                </c:pt>
                <c:pt idx="829">
                  <c:v>52.355931665657423</c:v>
                </c:pt>
                <c:pt idx="830">
                  <c:v>52.356077891906779</c:v>
                </c:pt>
                <c:pt idx="831">
                  <c:v>52.35622411316551</c:v>
                </c:pt>
                <c:pt idx="832">
                  <c:v>52.356370329433737</c:v>
                </c:pt>
                <c:pt idx="833">
                  <c:v>52.356516540711624</c:v>
                </c:pt>
                <c:pt idx="834">
                  <c:v>52.356662746999277</c:v>
                </c:pt>
                <c:pt idx="835">
                  <c:v>52.356808948296838</c:v>
                </c:pt>
                <c:pt idx="836">
                  <c:v>52.356955144604456</c:v>
                </c:pt>
                <c:pt idx="837">
                  <c:v>52.357101335922252</c:v>
                </c:pt>
                <c:pt idx="838">
                  <c:v>52.357247522250368</c:v>
                </c:pt>
                <c:pt idx="839">
                  <c:v>52.357393703588933</c:v>
                </c:pt>
                <c:pt idx="840">
                  <c:v>52.357539879938095</c:v>
                </c:pt>
                <c:pt idx="841">
                  <c:v>52.357686051297989</c:v>
                </c:pt>
                <c:pt idx="842">
                  <c:v>52.357832217668729</c:v>
                </c:pt>
                <c:pt idx="843">
                  <c:v>52.357978379050479</c:v>
                </c:pt>
                <c:pt idx="844">
                  <c:v>52.358124535443352</c:v>
                </c:pt>
                <c:pt idx="845">
                  <c:v>52.35827068684749</c:v>
                </c:pt>
                <c:pt idx="846">
                  <c:v>52.35841683326305</c:v>
                </c:pt>
                <c:pt idx="847">
                  <c:v>52.358562974690145</c:v>
                </c:pt>
                <c:pt idx="848">
                  <c:v>52.358709111128903</c:v>
                </c:pt>
                <c:pt idx="849">
                  <c:v>52.358855242579473</c:v>
                </c:pt>
                <c:pt idx="850">
                  <c:v>52.359001369041998</c:v>
                </c:pt>
                <c:pt idx="851">
                  <c:v>52.359147490516598</c:v>
                </c:pt>
                <c:pt idx="852">
                  <c:v>52.359293607003423</c:v>
                </c:pt>
                <c:pt idx="853">
                  <c:v>52.359439718502593</c:v>
                </c:pt>
                <c:pt idx="854">
                  <c:v>52.359585825014257</c:v>
                </c:pt>
                <c:pt idx="855">
                  <c:v>52.359731926538537</c:v>
                </c:pt>
                <c:pt idx="856">
                  <c:v>52.359878023075581</c:v>
                </c:pt>
                <c:pt idx="857">
                  <c:v>52.360024114625517</c:v>
                </c:pt>
                <c:pt idx="858">
                  <c:v>52.360170201188474</c:v>
                </c:pt>
                <c:pt idx="859">
                  <c:v>52.360316282764614</c:v>
                </c:pt>
                <c:pt idx="860">
                  <c:v>52.360462359354045</c:v>
                </c:pt>
                <c:pt idx="861">
                  <c:v>52.360608430956916</c:v>
                </c:pt>
                <c:pt idx="862">
                  <c:v>52.360754497573367</c:v>
                </c:pt>
                <c:pt idx="863">
                  <c:v>52.360900559203515</c:v>
                </c:pt>
                <c:pt idx="864">
                  <c:v>52.361046615847506</c:v>
                </c:pt>
                <c:pt idx="865">
                  <c:v>52.361192667505485</c:v>
                </c:pt>
                <c:pt idx="866">
                  <c:v>52.36133871417757</c:v>
                </c:pt>
                <c:pt idx="867">
                  <c:v>52.361484755863913</c:v>
                </c:pt>
                <c:pt idx="868">
                  <c:v>52.361630792564632</c:v>
                </c:pt>
                <c:pt idx="869">
                  <c:v>52.361776824279886</c:v>
                </c:pt>
                <c:pt idx="870">
                  <c:v>52.361922851009794</c:v>
                </c:pt>
                <c:pt idx="871">
                  <c:v>52.362068872754485</c:v>
                </c:pt>
                <c:pt idx="872">
                  <c:v>52.362214889514114</c:v>
                </c:pt>
                <c:pt idx="873">
                  <c:v>52.362360901288802</c:v>
                </c:pt>
                <c:pt idx="874">
                  <c:v>52.362506908078686</c:v>
                </c:pt>
                <c:pt idx="875">
                  <c:v>52.362652909883906</c:v>
                </c:pt>
                <c:pt idx="876">
                  <c:v>52.36279890670459</c:v>
                </c:pt>
                <c:pt idx="877">
                  <c:v>52.362944898540889</c:v>
                </c:pt>
                <c:pt idx="878">
                  <c:v>52.363090885392921</c:v>
                </c:pt>
                <c:pt idx="879">
                  <c:v>52.363236867260838</c:v>
                </c:pt>
                <c:pt idx="880">
                  <c:v>52.363382844144766</c:v>
                </c:pt>
                <c:pt idx="881">
                  <c:v>52.363528816044834</c:v>
                </c:pt>
                <c:pt idx="882">
                  <c:v>52.363674782961183</c:v>
                </c:pt>
                <c:pt idx="883">
                  <c:v>52.363820744893957</c:v>
                </c:pt>
                <c:pt idx="884">
                  <c:v>52.363966701843282</c:v>
                </c:pt>
                <c:pt idx="885">
                  <c:v>52.364112653809293</c:v>
                </c:pt>
                <c:pt idx="886">
                  <c:v>52.364258600792127</c:v>
                </c:pt>
                <c:pt idx="887">
                  <c:v>52.364404542791931</c:v>
                </c:pt>
                <c:pt idx="888">
                  <c:v>52.36455047980882</c:v>
                </c:pt>
                <c:pt idx="889">
                  <c:v>52.364696411842942</c:v>
                </c:pt>
                <c:pt idx="890">
                  <c:v>52.364842338894434</c:v>
                </c:pt>
                <c:pt idx="891">
                  <c:v>52.364988260963429</c:v>
                </c:pt>
                <c:pt idx="892">
                  <c:v>52.365134178050056</c:v>
                </c:pt>
                <c:pt idx="893">
                  <c:v>52.365280090154464</c:v>
                </c:pt>
                <c:pt idx="894">
                  <c:v>52.365425997276773</c:v>
                </c:pt>
                <c:pt idx="895">
                  <c:v>52.365571899417127</c:v>
                </c:pt>
                <c:pt idx="896">
                  <c:v>52.365717796575666</c:v>
                </c:pt>
                <c:pt idx="897">
                  <c:v>52.365863688752512</c:v>
                </c:pt>
                <c:pt idx="898">
                  <c:v>52.366009575947807</c:v>
                </c:pt>
                <c:pt idx="899">
                  <c:v>52.3661554581617</c:v>
                </c:pt>
                <c:pt idx="900">
                  <c:v>52.366301335394297</c:v>
                </c:pt>
                <c:pt idx="901">
                  <c:v>52.366447207645763</c:v>
                </c:pt>
                <c:pt idx="902">
                  <c:v>52.366593074916217</c:v>
                </c:pt>
                <c:pt idx="903">
                  <c:v>52.366738937205795</c:v>
                </c:pt>
                <c:pt idx="904">
                  <c:v>52.366884794514647</c:v>
                </c:pt>
                <c:pt idx="905">
                  <c:v>52.367030646842885</c:v>
                </c:pt>
                <c:pt idx="906">
                  <c:v>52.367176494190659</c:v>
                </c:pt>
                <c:pt idx="907">
                  <c:v>52.367322336558104</c:v>
                </c:pt>
                <c:pt idx="908">
                  <c:v>52.367468173945348</c:v>
                </c:pt>
                <c:pt idx="909">
                  <c:v>52.367614006352532</c:v>
                </c:pt>
                <c:pt idx="910">
                  <c:v>52.3677598337798</c:v>
                </c:pt>
                <c:pt idx="911">
                  <c:v>52.367905656227265</c:v>
                </c:pt>
                <c:pt idx="912">
                  <c:v>52.36805147369509</c:v>
                </c:pt>
                <c:pt idx="913">
                  <c:v>52.368197286183388</c:v>
                </c:pt>
                <c:pt idx="914">
                  <c:v>52.36834309369231</c:v>
                </c:pt>
                <c:pt idx="915">
                  <c:v>52.368488896221976</c:v>
                </c:pt>
                <c:pt idx="916">
                  <c:v>52.368634693772542</c:v>
                </c:pt>
                <c:pt idx="917">
                  <c:v>52.368780486344114</c:v>
                </c:pt>
                <c:pt idx="918">
                  <c:v>52.36892627393685</c:v>
                </c:pt>
                <c:pt idx="919">
                  <c:v>52.369072056550884</c:v>
                </c:pt>
                <c:pt idx="920">
                  <c:v>52.369217834186344</c:v>
                </c:pt>
                <c:pt idx="921">
                  <c:v>52.369363606843358</c:v>
                </c:pt>
                <c:pt idx="922">
                  <c:v>52.369509374522082</c:v>
                </c:pt>
                <c:pt idx="923">
                  <c:v>52.369655137222644</c:v>
                </c:pt>
                <c:pt idx="924">
                  <c:v>52.369800894945165</c:v>
                </c:pt>
                <c:pt idx="925">
                  <c:v>52.369946647689794</c:v>
                </c:pt>
                <c:pt idx="926">
                  <c:v>52.370092395456673</c:v>
                </c:pt>
                <c:pt idx="927">
                  <c:v>52.370238138245924</c:v>
                </c:pt>
                <c:pt idx="928">
                  <c:v>52.370383876057694</c:v>
                </c:pt>
                <c:pt idx="929">
                  <c:v>52.370529608892106</c:v>
                </c:pt>
                <c:pt idx="930">
                  <c:v>52.370675336749294</c:v>
                </c:pt>
                <c:pt idx="931">
                  <c:v>52.370821059629414</c:v>
                </c:pt>
                <c:pt idx="932">
                  <c:v>52.37096677753258</c:v>
                </c:pt>
                <c:pt idx="933">
                  <c:v>52.371112490458934</c:v>
                </c:pt>
                <c:pt idx="934">
                  <c:v>52.371258198408611</c:v>
                </c:pt>
                <c:pt idx="935">
                  <c:v>52.371403901381747</c:v>
                </c:pt>
                <c:pt idx="936">
                  <c:v>52.37154959937849</c:v>
                </c:pt>
                <c:pt idx="937">
                  <c:v>52.371695292398947</c:v>
                </c:pt>
                <c:pt idx="938">
                  <c:v>52.371840980443274</c:v>
                </c:pt>
                <c:pt idx="939">
                  <c:v>52.371986663511606</c:v>
                </c:pt>
                <c:pt idx="940">
                  <c:v>52.372132341604072</c:v>
                </c:pt>
                <c:pt idx="941">
                  <c:v>52.372278014720813</c:v>
                </c:pt>
                <c:pt idx="942">
                  <c:v>52.37242368286195</c:v>
                </c:pt>
                <c:pt idx="943">
                  <c:v>52.372569346027632</c:v>
                </c:pt>
                <c:pt idx="944">
                  <c:v>52.372715004218001</c:v>
                </c:pt>
                <c:pt idx="945">
                  <c:v>52.372860657433179</c:v>
                </c:pt>
                <c:pt idx="946">
                  <c:v>52.373006305673307</c:v>
                </c:pt>
                <c:pt idx="947">
                  <c:v>52.373151948938514</c:v>
                </c:pt>
                <c:pt idx="948">
                  <c:v>52.373297587228933</c:v>
                </c:pt>
                <c:pt idx="949">
                  <c:v>52.373443220544708</c:v>
                </c:pt>
                <c:pt idx="950">
                  <c:v>52.37358884888598</c:v>
                </c:pt>
                <c:pt idx="951">
                  <c:v>52.373734472252877</c:v>
                </c:pt>
                <c:pt idx="952">
                  <c:v>52.373880090645528</c:v>
                </c:pt>
                <c:pt idx="953">
                  <c:v>52.374025704064074</c:v>
                </c:pt>
                <c:pt idx="954">
                  <c:v>52.374171312508651</c:v>
                </c:pt>
                <c:pt idx="955">
                  <c:v>52.374316915979399</c:v>
                </c:pt>
                <c:pt idx="956">
                  <c:v>52.374462514476441</c:v>
                </c:pt>
                <c:pt idx="957">
                  <c:v>52.374608107999933</c:v>
                </c:pt>
                <c:pt idx="958">
                  <c:v>52.37475369654998</c:v>
                </c:pt>
                <c:pt idx="959">
                  <c:v>52.374899280126741</c:v>
                </c:pt>
                <c:pt idx="960">
                  <c:v>52.375044858730348</c:v>
                </c:pt>
                <c:pt idx="961">
                  <c:v>52.375190432360924</c:v>
                </c:pt>
                <c:pt idx="962">
                  <c:v>52.375336001018617</c:v>
                </c:pt>
                <c:pt idx="963">
                  <c:v>52.375481564703563</c:v>
                </c:pt>
                <c:pt idx="964">
                  <c:v>52.375627123415889</c:v>
                </c:pt>
                <c:pt idx="965">
                  <c:v>52.375772677155737</c:v>
                </c:pt>
                <c:pt idx="966">
                  <c:v>52.375918225923229</c:v>
                </c:pt>
                <c:pt idx="967">
                  <c:v>52.37606376971852</c:v>
                </c:pt>
                <c:pt idx="968">
                  <c:v>52.376209308541732</c:v>
                </c:pt>
                <c:pt idx="969">
                  <c:v>52.376354842392999</c:v>
                </c:pt>
                <c:pt idx="970">
                  <c:v>52.376500371272463</c:v>
                </c:pt>
                <c:pt idx="971">
                  <c:v>52.376645895180268</c:v>
                </c:pt>
                <c:pt idx="972">
                  <c:v>52.376791414116532</c:v>
                </c:pt>
                <c:pt idx="973">
                  <c:v>52.376936928081392</c:v>
                </c:pt>
                <c:pt idx="974">
                  <c:v>52.377082437074989</c:v>
                </c:pt>
                <c:pt idx="975">
                  <c:v>52.377227941097459</c:v>
                </c:pt>
                <c:pt idx="976">
                  <c:v>52.377373440148929</c:v>
                </c:pt>
                <c:pt idx="977">
                  <c:v>52.377518934229549</c:v>
                </c:pt>
                <c:pt idx="978">
                  <c:v>52.377664423339446</c:v>
                </c:pt>
                <c:pt idx="979">
                  <c:v>52.377809907478749</c:v>
                </c:pt>
                <c:pt idx="980">
                  <c:v>52.377955386647599</c:v>
                </c:pt>
                <c:pt idx="981">
                  <c:v>52.378100860846139</c:v>
                </c:pt>
                <c:pt idx="982">
                  <c:v>52.378246330074489</c:v>
                </c:pt>
                <c:pt idx="983">
                  <c:v>52.378391794332799</c:v>
                </c:pt>
                <c:pt idx="984">
                  <c:v>52.37853725362119</c:v>
                </c:pt>
                <c:pt idx="985">
                  <c:v>52.378682707939809</c:v>
                </c:pt>
                <c:pt idx="986">
                  <c:v>52.378828157288787</c:v>
                </c:pt>
                <c:pt idx="987">
                  <c:v>52.378973601668257</c:v>
                </c:pt>
                <c:pt idx="988">
                  <c:v>52.379119041078354</c:v>
                </c:pt>
                <c:pt idx="989">
                  <c:v>52.379264475519214</c:v>
                </c:pt>
                <c:pt idx="990">
                  <c:v>52.379409904990979</c:v>
                </c:pt>
                <c:pt idx="991">
                  <c:v>52.379555329493776</c:v>
                </c:pt>
                <c:pt idx="992">
                  <c:v>52.379700749027741</c:v>
                </c:pt>
                <c:pt idx="993">
                  <c:v>52.379846163593015</c:v>
                </c:pt>
                <c:pt idx="994">
                  <c:v>52.379991573189727</c:v>
                </c:pt>
                <c:pt idx="995">
                  <c:v>52.380136977818019</c:v>
                </c:pt>
                <c:pt idx="996">
                  <c:v>52.380282377478011</c:v>
                </c:pt>
                <c:pt idx="997">
                  <c:v>52.380427772169867</c:v>
                </c:pt>
                <c:pt idx="998">
                  <c:v>52.380573161893686</c:v>
                </c:pt>
                <c:pt idx="999">
                  <c:v>52.380718546649625</c:v>
                </c:pt>
                <c:pt idx="1000">
                  <c:v>52.380863926437819</c:v>
                </c:pt>
              </c:numCache>
            </c:numRef>
          </c:yVal>
          <c:smooth val="0"/>
          <c:extLst>
            <c:ext xmlns:c16="http://schemas.microsoft.com/office/drawing/2014/chart" uri="{C3380CC4-5D6E-409C-BE32-E72D297353CC}">
              <c16:uniqueId val="{00000000-011B-490F-A283-4EB42FA064EB}"/>
            </c:ext>
          </c:extLst>
        </c:ser>
        <c:dLbls>
          <c:showLegendKey val="0"/>
          <c:showVal val="0"/>
          <c:showCatName val="0"/>
          <c:showSerName val="0"/>
          <c:showPercent val="0"/>
          <c:showBubbleSize val="0"/>
        </c:dLbls>
        <c:axId val="149125760"/>
        <c:axId val="149132032"/>
      </c:scatterChart>
      <c:valAx>
        <c:axId val="149125760"/>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0"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132032"/>
        <c:crosses val="autoZero"/>
        <c:crossBetween val="midCat"/>
      </c:valAx>
      <c:valAx>
        <c:axId val="149132032"/>
        <c:scaling>
          <c:orientation val="minMax"/>
        </c:scaling>
        <c:delete val="0"/>
        <c:axPos val="l"/>
        <c:majorGridlines>
          <c:spPr>
            <a:ln w="3175">
              <a:solidFill>
                <a:srgbClr val="000000"/>
              </a:solidFill>
              <a:prstDash val="sysDash"/>
            </a:ln>
          </c:spPr>
        </c:majorGridlines>
        <c:title>
          <c:tx>
            <c:strRef>
              <c:f>Courbes!$B$141</c:f>
              <c:strCache>
                <c:ptCount val="1"/>
                <c:pt idx="0">
                  <c:v>Vitesse [m/s]</c:v>
                </c:pt>
              </c:strCache>
            </c:strRef>
          </c:tx>
          <c:layout>
            <c:manualLayout>
              <c:xMode val="edge"/>
              <c:yMode val="edge"/>
              <c:x val="2.5943396226415099E-2"/>
              <c:y val="0.22875870516185479"/>
            </c:manualLayout>
          </c:layout>
          <c:overlay val="0"/>
          <c:spPr>
            <a:noFill/>
            <a:ln w="25400">
              <a:noFill/>
            </a:ln>
          </c:spPr>
          <c:txPr>
            <a:bodyPr/>
            <a:lstStyle/>
            <a:p>
              <a:pPr>
                <a:defRPr sz="1000" b="1"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125760"/>
        <c:crosses val="autoZero"/>
        <c:crossBetween val="midCat"/>
      </c:valAx>
      <c:spPr>
        <a:noFill/>
        <a:ln w="12700">
          <a:solidFill>
            <a:srgbClr val="808080"/>
          </a:solidFill>
          <a:prstDash val="solid"/>
        </a:ln>
      </c:spPr>
    </c:plotArea>
    <c:legend>
      <c:legendPos val="r"/>
      <c:layout>
        <c:manualLayout>
          <c:xMode val="edge"/>
          <c:yMode val="edge"/>
          <c:x val="0.81839684544148961"/>
          <c:y val="0.46444479440069991"/>
          <c:w val="0.13207559550339221"/>
          <c:h val="7.7777777777777779E-2"/>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Accélérations</a:t>
            </a:r>
          </a:p>
        </c:rich>
      </c:tx>
      <c:overlay val="1"/>
    </c:title>
    <c:autoTitleDeleted val="0"/>
    <c:plotArea>
      <c:layout>
        <c:manualLayout>
          <c:layoutTarget val="inner"/>
          <c:xMode val="edge"/>
          <c:yMode val="edge"/>
          <c:x val="9.4339622641509524E-2"/>
          <c:y val="9.4771241830065356E-2"/>
          <c:w val="0.88679245283019104"/>
          <c:h val="0.81699346405228768"/>
        </c:manualLayout>
      </c:layout>
      <c:scatterChart>
        <c:scatterStyle val="lineMarker"/>
        <c:varyColors val="0"/>
        <c:ser>
          <c:idx val="0"/>
          <c:order val="0"/>
          <c:tx>
            <c:strRef>
              <c:f>Courbes!$B$137</c:f>
              <c:strCache>
                <c:ptCount val="1"/>
                <c:pt idx="0">
                  <c:v>Accélération longitudinale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Calculs!$AG$4:$AG$1004</c:f>
              <c:numCache>
                <c:formatCode>0.00</c:formatCode>
                <c:ptCount val="1001"/>
                <c:pt idx="0">
                  <c:v>0</c:v>
                </c:pt>
                <c:pt idx="1">
                  <c:v>7.8079388368959162</c:v>
                </c:pt>
                <c:pt idx="2">
                  <c:v>75.539250173279243</c:v>
                </c:pt>
                <c:pt idx="3">
                  <c:v>131.35285040859989</c:v>
                </c:pt>
                <c:pt idx="4">
                  <c:v>141.30351487934402</c:v>
                </c:pt>
                <c:pt idx="5">
                  <c:v>141.03900203698171</c:v>
                </c:pt>
                <c:pt idx="6">
                  <c:v>131.62360513229191</c:v>
                </c:pt>
                <c:pt idx="7">
                  <c:v>122.17906037993865</c:v>
                </c:pt>
                <c:pt idx="8">
                  <c:v>119.29720588525117</c:v>
                </c:pt>
                <c:pt idx="9">
                  <c:v>122.9954380689955</c:v>
                </c:pt>
                <c:pt idx="10">
                  <c:v>126.69151593496903</c:v>
                </c:pt>
                <c:pt idx="11">
                  <c:v>128.9907974165526</c:v>
                </c:pt>
                <c:pt idx="12">
                  <c:v>129.88934801637723</c:v>
                </c:pt>
                <c:pt idx="13">
                  <c:v>130.77973180516298</c:v>
                </c:pt>
                <c:pt idx="14">
                  <c:v>131.66175060440909</c:v>
                </c:pt>
                <c:pt idx="15">
                  <c:v>132.53520674145611</c:v>
                </c:pt>
                <c:pt idx="16">
                  <c:v>133.39990316125892</c:v>
                </c:pt>
                <c:pt idx="17">
                  <c:v>134.25564353943955</c:v>
                </c:pt>
                <c:pt idx="18">
                  <c:v>135.1022323965343</c:v>
                </c:pt>
                <c:pt idx="19">
                  <c:v>135.939475213343</c:v>
                </c:pt>
                <c:pt idx="20">
                  <c:v>136.76717854728724</c:v>
                </c:pt>
                <c:pt idx="21">
                  <c:v>137.36329378114993</c:v>
                </c:pt>
                <c:pt idx="22">
                  <c:v>137.72724020538575</c:v>
                </c:pt>
                <c:pt idx="23">
                  <c:v>138.08176964990588</c:v>
                </c:pt>
                <c:pt idx="24">
                  <c:v>138.42571147710774</c:v>
                </c:pt>
                <c:pt idx="25">
                  <c:v>138.75896546125173</c:v>
                </c:pt>
                <c:pt idx="26">
                  <c:v>139.08145003336466</c:v>
                </c:pt>
                <c:pt idx="27">
                  <c:v>139.39308629854705</c:v>
                </c:pt>
                <c:pt idx="28">
                  <c:v>139.69379815226523</c:v>
                </c:pt>
                <c:pt idx="29">
                  <c:v>139.98351238441469</c:v>
                </c:pt>
                <c:pt idx="30">
                  <c:v>140.26215877333451</c:v>
                </c:pt>
                <c:pt idx="31">
                  <c:v>140.08228511198129</c:v>
                </c:pt>
                <c:pt idx="32">
                  <c:v>139.44337396026827</c:v>
                </c:pt>
                <c:pt idx="33">
                  <c:v>138.79319142764732</c:v>
                </c:pt>
                <c:pt idx="34">
                  <c:v>138.13190110148804</c:v>
                </c:pt>
                <c:pt idx="35">
                  <c:v>137.45966965685156</c:v>
                </c:pt>
                <c:pt idx="36">
                  <c:v>136.7766667632815</c:v>
                </c:pt>
                <c:pt idx="37">
                  <c:v>136.08306498724619</c:v>
                </c:pt>
                <c:pt idx="38">
                  <c:v>135.37903969083848</c:v>
                </c:pt>
                <c:pt idx="39">
                  <c:v>134.66476892724381</c:v>
                </c:pt>
                <c:pt idx="40">
                  <c:v>133.94043333341477</c:v>
                </c:pt>
                <c:pt idx="41">
                  <c:v>133.20621602033097</c:v>
                </c:pt>
                <c:pt idx="42">
                  <c:v>132.46230246117858</c:v>
                </c:pt>
                <c:pt idx="43">
                  <c:v>131.7088803777464</c:v>
                </c:pt>
                <c:pt idx="44">
                  <c:v>130.94613962530786</c:v>
                </c:pt>
                <c:pt idx="45">
                  <c:v>130.17427207623254</c:v>
                </c:pt>
                <c:pt idx="46">
                  <c:v>129.39347150255207</c:v>
                </c:pt>
                <c:pt idx="47">
                  <c:v>128.60393345769052</c:v>
                </c:pt>
                <c:pt idx="48">
                  <c:v>127.80585515755274</c:v>
                </c:pt>
                <c:pt idx="49">
                  <c:v>126.99943536115578</c:v>
                </c:pt>
                <c:pt idx="50">
                  <c:v>126.18487425097675</c:v>
                </c:pt>
                <c:pt idx="51">
                  <c:v>125.36237331318145</c:v>
                </c:pt>
                <c:pt idx="52">
                  <c:v>124.5321352178923</c:v>
                </c:pt>
                <c:pt idx="53">
                  <c:v>123.69436369964498</c:v>
                </c:pt>
                <c:pt idx="54">
                  <c:v>122.84926343817848</c:v>
                </c:pt>
                <c:pt idx="55">
                  <c:v>121.997039939697</c:v>
                </c:pt>
                <c:pt idx="56">
                  <c:v>121.13789941873581</c:v>
                </c:pt>
                <c:pt idx="57">
                  <c:v>120.27204868075991</c:v>
                </c:pt>
                <c:pt idx="58">
                  <c:v>119.39969500561712</c:v>
                </c:pt>
                <c:pt idx="59">
                  <c:v>118.52104603196497</c:v>
                </c:pt>
                <c:pt idx="60">
                  <c:v>117.6363096427836</c:v>
                </c:pt>
                <c:pt idx="61">
                  <c:v>116.74569385208478</c:v>
                </c:pt>
                <c:pt idx="62">
                  <c:v>115.84940669292082</c:v>
                </c:pt>
                <c:pt idx="63">
                  <c:v>114.947656106794</c:v>
                </c:pt>
                <c:pt idx="64">
                  <c:v>114.04064983456236</c:v>
                </c:pt>
                <c:pt idx="65">
                  <c:v>113.12859530893343</c:v>
                </c:pt>
                <c:pt idx="66">
                  <c:v>112.21169954863312</c:v>
                </c:pt>
                <c:pt idx="67">
                  <c:v>111.29016905433332</c:v>
                </c:pt>
                <c:pt idx="68">
                  <c:v>110.36420970641643</c:v>
                </c:pt>
                <c:pt idx="69">
                  <c:v>109.43402666465224</c:v>
                </c:pt>
                <c:pt idx="70">
                  <c:v>108.49982426985736</c:v>
                </c:pt>
                <c:pt idx="71">
                  <c:v>107.72479693127481</c:v>
                </c:pt>
                <c:pt idx="72">
                  <c:v>107.10874927723647</c:v>
                </c:pt>
                <c:pt idx="73">
                  <c:v>106.4882025006136</c:v>
                </c:pt>
                <c:pt idx="74">
                  <c:v>105.86329329353984</c:v>
                </c:pt>
                <c:pt idx="75">
                  <c:v>105.23415843551385</c:v>
                </c:pt>
                <c:pt idx="76">
                  <c:v>104.60093473101179</c:v>
                </c:pt>
                <c:pt idx="77">
                  <c:v>103.96375894783829</c:v>
                </c:pt>
                <c:pt idx="78">
                  <c:v>103.32276775625685</c:v>
                </c:pt>
                <c:pt idx="79">
                  <c:v>102.67809766894234</c:v>
                </c:pt>
                <c:pt idx="80">
                  <c:v>102.02988498179344</c:v>
                </c:pt>
                <c:pt idx="81">
                  <c:v>101.37826571564355</c:v>
                </c:pt>
                <c:pt idx="82">
                  <c:v>100.72337555890593</c:v>
                </c:pt>
                <c:pt idx="83">
                  <c:v>100.06534981118762</c:v>
                </c:pt>
                <c:pt idx="84">
                  <c:v>99.404323327904478</c:v>
                </c:pt>
                <c:pt idx="85">
                  <c:v>98.740430465928569</c:v>
                </c:pt>
                <c:pt idx="86">
                  <c:v>98.073805030297535</c:v>
                </c:pt>
                <c:pt idx="87">
                  <c:v>97.404580222012882</c:v>
                </c:pt>
                <c:pt idx="88">
                  <c:v>82.379184437163701</c:v>
                </c:pt>
                <c:pt idx="89">
                  <c:v>53.059516760962495</c:v>
                </c:pt>
                <c:pt idx="90">
                  <c:v>23.889849096807154</c:v>
                </c:pt>
                <c:pt idx="91">
                  <c:v>5.4725261461622523</c:v>
                </c:pt>
                <c:pt idx="92">
                  <c:v>-2.2463894140705447</c:v>
                </c:pt>
                <c:pt idx="93">
                  <c:v>-9.9187146087260167</c:v>
                </c:pt>
                <c:pt idx="94">
                  <c:v>-17.543815135012018</c:v>
                </c:pt>
                <c:pt idx="95">
                  <c:v>-25.121177905667793</c:v>
                </c:pt>
                <c:pt idx="96">
                  <c:v>-32.650408273572026</c:v>
                </c:pt>
                <c:pt idx="97">
                  <c:v>-40.131227185487951</c:v>
                </c:pt>
                <c:pt idx="98">
                  <c:v>-43.716818937749878</c:v>
                </c:pt>
                <c:pt idx="99">
                  <c:v>-43.433100483243585</c:v>
                </c:pt>
                <c:pt idx="100">
                  <c:v>-43.152410746521241</c:v>
                </c:pt>
                <c:pt idx="101">
                  <c:v>-42.874706846828126</c:v>
                </c:pt>
                <c:pt idx="102">
                  <c:v>-42.599946661825342</c:v>
                </c:pt>
                <c:pt idx="103">
                  <c:v>-42.328088811520708</c:v>
                </c:pt>
                <c:pt idx="104">
                  <c:v>-42.059092642595822</c:v>
                </c:pt>
                <c:pt idx="105">
                  <c:v>-41.792918213118178</c:v>
                </c:pt>
                <c:pt idx="106">
                  <c:v>-41.529526277627582</c:v>
                </c:pt>
                <c:pt idx="107">
                  <c:v>-41.268878272586541</c:v>
                </c:pt>
                <c:pt idx="108">
                  <c:v>-41.010936302184028</c:v>
                </c:pt>
                <c:pt idx="109">
                  <c:v>-40.755663124483547</c:v>
                </c:pt>
                <c:pt idx="110">
                  <c:v>-40.503022137905305</c:v>
                </c:pt>
                <c:pt idx="111">
                  <c:v>-40.252977368033861</c:v>
                </c:pt>
                <c:pt idx="112">
                  <c:v>-40.005493454741725</c:v>
                </c:pt>
                <c:pt idx="113">
                  <c:v>-39.760535639621018</c:v>
                </c:pt>
                <c:pt idx="114">
                  <c:v>-39.518069753713952</c:v>
                </c:pt>
                <c:pt idx="115">
                  <c:v>-39.278062205534823</c:v>
                </c:pt>
                <c:pt idx="116">
                  <c:v>-39.040479969375028</c:v>
                </c:pt>
                <c:pt idx="117">
                  <c:v>-38.805290573883831</c:v>
                </c:pt>
                <c:pt idx="118">
                  <c:v>-38.572462090917192</c:v>
                </c:pt>
                <c:pt idx="119">
                  <c:v>-38.341963124647869</c:v>
                </c:pt>
                <c:pt idx="120">
                  <c:v>-38.113762800929322</c:v>
                </c:pt>
                <c:pt idx="121">
                  <c:v>-37.887830756907114</c:v>
                </c:pt>
                <c:pt idx="122">
                  <c:v>-37.664137130870955</c:v>
                </c:pt>
                <c:pt idx="123">
                  <c:v>-37.442652552341201</c:v>
                </c:pt>
                <c:pt idx="124">
                  <c:v>-37.223348132383464</c:v>
                </c:pt>
                <c:pt idx="125">
                  <c:v>-37.006195454145569</c:v>
                </c:pt>
                <c:pt idx="126">
                  <c:v>-36.791166563610844</c:v>
                </c:pt>
                <c:pt idx="127">
                  <c:v>-36.578233960562116</c:v>
                </c:pt>
                <c:pt idx="128">
                  <c:v>-36.367370589751211</c:v>
                </c:pt>
                <c:pt idx="129">
                  <c:v>-36.158549832268079</c:v>
                </c:pt>
                <c:pt idx="130">
                  <c:v>-35.951745497105051</c:v>
                </c:pt>
                <c:pt idx="131">
                  <c:v>-35.746931812910688</c:v>
                </c:pt>
                <c:pt idx="132">
                  <c:v>-35.544083419928555</c:v>
                </c:pt>
                <c:pt idx="133">
                  <c:v>-35.343175362116263</c:v>
                </c:pt>
                <c:pt idx="134">
                  <c:v>-35.144183079440111</c:v>
                </c:pt>
                <c:pt idx="135">
                  <c:v>-34.94708240034069</c:v>
                </c:pt>
                <c:pt idx="136">
                  <c:v>-34.751849534365547</c:v>
                </c:pt>
                <c:pt idx="137">
                  <c:v>-34.558461064964085</c:v>
                </c:pt>
                <c:pt idx="138">
                  <c:v>-34.366893942441408</c:v>
                </c:pt>
                <c:pt idx="139">
                  <c:v>-34.177125477066213</c:v>
                </c:pt>
                <c:pt idx="140">
                  <c:v>-33.989133332329651</c:v>
                </c:pt>
                <c:pt idx="141">
                  <c:v>-33.802895518350937</c:v>
                </c:pt>
                <c:pt idx="142">
                  <c:v>-33.618390385426288</c:v>
                </c:pt>
                <c:pt idx="143">
                  <c:v>-33.435596617717373</c:v>
                </c:pt>
                <c:pt idx="144">
                  <c:v>-33.254493227076267</c:v>
                </c:pt>
                <c:pt idx="145">
                  <c:v>-33.075059547003086</c:v>
                </c:pt>
                <c:pt idx="146">
                  <c:v>-32.897275226733321</c:v>
                </c:pt>
                <c:pt idx="147">
                  <c:v>-32.721120225451585</c:v>
                </c:pt>
                <c:pt idx="148">
                  <c:v>-32.546574806628797</c:v>
                </c:pt>
                <c:pt idx="149">
                  <c:v>-32.373619532479623</c:v>
                </c:pt>
                <c:pt idx="150">
                  <c:v>-32.20223525853747</c:v>
                </c:pt>
                <c:pt idx="151">
                  <c:v>-32.032403128343994</c:v>
                </c:pt>
                <c:pt idx="152">
                  <c:v>-31.864104568250525</c:v>
                </c:pt>
                <c:pt idx="153">
                  <c:v>-31.697321282328545</c:v>
                </c:pt>
                <c:pt idx="154">
                  <c:v>-31.532035247386837</c:v>
                </c:pt>
                <c:pt idx="155">
                  <c:v>-31.368228708092509</c:v>
                </c:pt>
                <c:pt idx="156">
                  <c:v>-31.20588417219362</c:v>
                </c:pt>
                <c:pt idx="157">
                  <c:v>-31.044984405840825</c:v>
                </c:pt>
                <c:pt idx="158">
                  <c:v>-30.88551242900585</c:v>
                </c:pt>
                <c:pt idx="159">
                  <c:v>-30.727451510994435</c:v>
                </c:pt>
                <c:pt idx="160">
                  <c:v>-30.570785166051476</c:v>
                </c:pt>
                <c:pt idx="161">
                  <c:v>-30.415497149056343</c:v>
                </c:pt>
                <c:pt idx="162">
                  <c:v>-30.261571451306011</c:v>
                </c:pt>
                <c:pt idx="163">
                  <c:v>-30.108992296384397</c:v>
                </c:pt>
                <c:pt idx="164">
                  <c:v>-29.957744136115274</c:v>
                </c:pt>
                <c:pt idx="165">
                  <c:v>-29.807811646597486</c:v>
                </c:pt>
                <c:pt idx="166">
                  <c:v>-29.659179724319984</c:v>
                </c:pt>
                <c:pt idx="167">
                  <c:v>-29.511833482355328</c:v>
                </c:pt>
                <c:pt idx="168">
                  <c:v>-29.365758246629447</c:v>
                </c:pt>
                <c:pt idx="169">
                  <c:v>-29.220939552266199</c:v>
                </c:pt>
                <c:pt idx="170">
                  <c:v>-29.077363140004834</c:v>
                </c:pt>
                <c:pt idx="171">
                  <c:v>-28.935014952688839</c:v>
                </c:pt>
                <c:pt idx="172">
                  <c:v>-28.793881131824374</c:v>
                </c:pt>
                <c:pt idx="173">
                  <c:v>-28.653948014206982</c:v>
                </c:pt>
                <c:pt idx="174">
                  <c:v>-28.515202128614703</c:v>
                </c:pt>
                <c:pt idx="175">
                  <c:v>-28.377630192566347</c:v>
                </c:pt>
                <c:pt idx="176">
                  <c:v>-28.24121910914338</c:v>
                </c:pt>
                <c:pt idx="177">
                  <c:v>-28.105955963873992</c:v>
                </c:pt>
                <c:pt idx="178">
                  <c:v>-27.971828021677908</c:v>
                </c:pt>
                <c:pt idx="179">
                  <c:v>-27.838822723870692</c:v>
                </c:pt>
                <c:pt idx="180">
                  <c:v>-27.706927685226155</c:v>
                </c:pt>
                <c:pt idx="181">
                  <c:v>-27.576130691095571</c:v>
                </c:pt>
                <c:pt idx="182">
                  <c:v>-27.446419694582517</c:v>
                </c:pt>
                <c:pt idx="183">
                  <c:v>-27.317782813771991</c:v>
                </c:pt>
                <c:pt idx="184">
                  <c:v>-27.190208329012762</c:v>
                </c:pt>
                <c:pt idx="185">
                  <c:v>-27.063684680251555</c:v>
                </c:pt>
                <c:pt idx="186">
                  <c:v>-26.938200464418383</c:v>
                </c:pt>
                <c:pt idx="187">
                  <c:v>-26.813744432861249</c:v>
                </c:pt>
                <c:pt idx="188">
                  <c:v>-26.690305488829786</c:v>
                </c:pt>
                <c:pt idx="189">
                  <c:v>-26.567872685006375</c:v>
                </c:pt>
                <c:pt idx="190">
                  <c:v>-26.446435221083899</c:v>
                </c:pt>
                <c:pt idx="191">
                  <c:v>-26.325982441389023</c:v>
                </c:pt>
                <c:pt idx="192">
                  <c:v>-26.206503832550048</c:v>
                </c:pt>
                <c:pt idx="193">
                  <c:v>-26.087989021208472</c:v>
                </c:pt>
                <c:pt idx="194">
                  <c:v>-25.970427771773174</c:v>
                </c:pt>
                <c:pt idx="195">
                  <c:v>-25.853809984216433</c:v>
                </c:pt>
                <c:pt idx="196">
                  <c:v>-25.738125691910817</c:v>
                </c:pt>
                <c:pt idx="197">
                  <c:v>-25.623365059506135</c:v>
                </c:pt>
                <c:pt idx="198">
                  <c:v>-25.509518380845474</c:v>
                </c:pt>
                <c:pt idx="199">
                  <c:v>-25.396576076919768</c:v>
                </c:pt>
                <c:pt idx="200">
                  <c:v>-25.284528693859748</c:v>
                </c:pt>
                <c:pt idx="201">
                  <c:v>-25.173366900964655</c:v>
                </c:pt>
                <c:pt idx="202">
                  <c:v>-24.088287086894859</c:v>
                </c:pt>
                <c:pt idx="203">
                  <c:v>-23.086028263423358</c:v>
                </c:pt>
                <c:pt idx="204">
                  <c:v>-22.158413243786214</c:v>
                </c:pt>
                <c:pt idx="205">
                  <c:v>-21.298250357114028</c:v>
                </c:pt>
                <c:pt idx="206">
                  <c:v>-20.499192148318645</c:v>
                </c:pt>
                <c:pt idx="207">
                  <c:v>-19.755616997808616</c:v>
                </c:pt>
                <c:pt idx="208">
                  <c:v>-19.062529454591775</c:v>
                </c:pt>
                <c:pt idx="209">
                  <c:v>-18.415475919705607</c:v>
                </c:pt>
                <c:pt idx="210">
                  <c:v>-17.810472974548553</c:v>
                </c:pt>
                <c:pt idx="211">
                  <c:v>-17.243946164326829</c:v>
                </c:pt>
                <c:pt idx="212">
                  <c:v>-16.712677453129348</c:v>
                </c:pt>
                <c:pt idx="213">
                  <c:v>-16.213759888605111</c:v>
                </c:pt>
                <c:pt idx="214">
                  <c:v>-15.744558269344221</c:v>
                </c:pt>
                <c:pt idx="215">
                  <c:v>-15.302674810877644</c:v>
                </c:pt>
                <c:pt idx="216">
                  <c:v>-14.885918967368324</c:v>
                </c:pt>
                <c:pt idx="217">
                  <c:v>-14.492280693663332</c:v>
                </c:pt>
                <c:pt idx="218">
                  <c:v>-14.119906532537236</c:v>
                </c:pt>
                <c:pt idx="219">
                  <c:v>-13.767077989262489</c:v>
                </c:pt>
                <c:pt idx="220">
                  <c:v>-13.432191713437771</c:v>
                </c:pt>
                <c:pt idx="221">
                  <c:v>-13.11374104862159</c:v>
                </c:pt>
                <c:pt idx="222">
                  <c:v>-12.81029853522214</c:v>
                </c:pt>
                <c:pt idx="223">
                  <c:v>-12.52049896198816</c:v>
                </c:pt>
                <c:pt idx="224">
                  <c:v>-12.243022556330908</c:v>
                </c:pt>
                <c:pt idx="225">
                  <c:v>-11.976577882921063</c:v>
                </c:pt>
                <c:pt idx="226">
                  <c:v>-11.71988398225689</c:v>
                </c:pt>
                <c:pt idx="227">
                  <c:v>-11.471651224333042</c:v>
                </c:pt>
                <c:pt idx="228">
                  <c:v>-11.230560274867727</c:v>
                </c:pt>
                <c:pt idx="229">
                  <c:v>-10.995238470362988</c:v>
                </c:pt>
                <c:pt idx="230">
                  <c:v>-10.764232771686522</c:v>
                </c:pt>
                <c:pt idx="231">
                  <c:v>-10.535978313733862</c:v>
                </c:pt>
                <c:pt idx="232">
                  <c:v>-10.308761394988128</c:v>
                </c:pt>
                <c:pt idx="233">
                  <c:v>-10.080675567647168</c:v>
                </c:pt>
                <c:pt idx="234">
                  <c:v>-9.8495693243420916</c:v>
                </c:pt>
                <c:pt idx="235">
                  <c:v>-9.6129837877322419</c:v>
                </c:pt>
                <c:pt idx="236">
                  <c:v>-9.3680789008109304</c:v>
                </c:pt>
                <c:pt idx="237">
                  <c:v>-9.1115470798202018</c:v>
                </c:pt>
                <c:pt idx="238">
                  <c:v>-8.8395144583761294</c:v>
                </c:pt>
                <c:pt idx="239">
                  <c:v>-8.5474322675976815</c:v>
                </c:pt>
                <c:pt idx="240">
                  <c:v>-8.2299654240266769</c:v>
                </c:pt>
                <c:pt idx="241">
                  <c:v>-7.8808932973137322</c:v>
                </c:pt>
                <c:pt idx="242">
                  <c:v>-7.4930505425674783</c:v>
                </c:pt>
                <c:pt idx="243">
                  <c:v>-7.0583554463704967</c:v>
                </c:pt>
                <c:pt idx="244">
                  <c:v>-6.5679998643579651</c:v>
                </c:pt>
                <c:pt idx="245">
                  <c:v>-6.0129048737292345</c:v>
                </c:pt>
                <c:pt idx="246">
                  <c:v>-5.3845669207381386</c:v>
                </c:pt>
                <c:pt idx="247">
                  <c:v>-4.6764022700935559</c:v>
                </c:pt>
                <c:pt idx="248">
                  <c:v>-3.8855981388661247</c:v>
                </c:pt>
                <c:pt idx="249">
                  <c:v>-3.0152545703411784</c:v>
                </c:pt>
                <c:pt idx="250">
                  <c:v>-2.076267416855293</c:v>
                </c:pt>
                <c:pt idx="251">
                  <c:v>-1.0881098076738684</c:v>
                </c:pt>
                <c:pt idx="252">
                  <c:v>-7.7704699077459527E-2</c:v>
                </c:pt>
                <c:pt idx="253">
                  <c:v>0.92382902015164836</c:v>
                </c:pt>
                <c:pt idx="254">
                  <c:v>1.885797102390717</c:v>
                </c:pt>
                <c:pt idx="255">
                  <c:v>2.7824154924804603</c:v>
                </c:pt>
                <c:pt idx="256">
                  <c:v>3.5957327963947119</c:v>
                </c:pt>
                <c:pt idx="257">
                  <c:v>4.3163918483168544</c:v>
                </c:pt>
                <c:pt idx="258">
                  <c:v>4.9425840177123623</c:v>
                </c:pt>
                <c:pt idx="259">
                  <c:v>5.4780498803790074</c:v>
                </c:pt>
                <c:pt idx="260">
                  <c:v>5.9299400266341902</c:v>
                </c:pt>
                <c:pt idx="261">
                  <c:v>6.3070300900159051</c:v>
                </c:pt>
                <c:pt idx="262">
                  <c:v>6.6184594424208143</c:v>
                </c:pt>
                <c:pt idx="263">
                  <c:v>6.8729590263311353</c:v>
                </c:pt>
                <c:pt idx="264">
                  <c:v>7.0784511493527518</c:v>
                </c:pt>
                <c:pt idx="265">
                  <c:v>7.2418965189872377</c:v>
                </c:pt>
                <c:pt idx="266">
                  <c:v>7.369288142425952</c:v>
                </c:pt>
                <c:pt idx="267">
                  <c:v>7.4657223122788867</c:v>
                </c:pt>
                <c:pt idx="268">
                  <c:v>7.53550281304845</c:v>
                </c:pt>
                <c:pt idx="269">
                  <c:v>7.5822530545717415</c:v>
                </c:pt>
                <c:pt idx="270">
                  <c:v>7.6090228810583627</c:v>
                </c:pt>
                <c:pt idx="271">
                  <c:v>7.6183840584310909</c:v>
                </c:pt>
                <c:pt idx="272">
                  <c:v>7.61251253054406</c:v>
                </c:pt>
                <c:pt idx="273">
                  <c:v>7.5932576683504767</c:v>
                </c:pt>
                <c:pt idx="274">
                  <c:v>7.5621997272855248</c:v>
                </c:pt>
                <c:pt idx="275">
                  <c:v>7.5206970858712312</c:v>
                </c:pt>
                <c:pt idx="276">
                  <c:v>7.4699248665667533</c:v>
                </c:pt>
                <c:pt idx="277">
                  <c:v>7.4109064121094015</c:v>
                </c:pt>
                <c:pt idx="278">
                  <c:v>7.3445389024558407</c:v>
                </c:pt>
                <c:pt idx="279">
                  <c:v>7.2716141985649836</c:v>
                </c:pt>
                <c:pt idx="280">
                  <c:v>7.1928358134076014</c:v>
                </c:pt>
                <c:pt idx="281">
                  <c:v>7.1088327473770665</c:v>
                </c:pt>
                <c:pt idx="282">
                  <c:v>7.0201707870049201</c:v>
                </c:pt>
                <c:pt idx="283">
                  <c:v>6.9273617513013832</c:v>
                </c:pt>
                <c:pt idx="284">
                  <c:v>6.8308710764025768</c:v>
                </c:pt>
                <c:pt idx="285">
                  <c:v>6.7311240533560035</c:v>
                </c:pt>
                <c:pt idx="286">
                  <c:v>6.6285109727652944</c:v>
                </c:pt>
                <c:pt idx="287">
                  <c:v>6.5233913809277579</c:v>
                </c:pt>
                <c:pt idx="288">
                  <c:v>6.416097612721531</c:v>
                </c:pt>
                <c:pt idx="289">
                  <c:v>6.3069377349155324</c:v>
                </c:pt>
                <c:pt idx="290">
                  <c:v>6.19619800822319</c:v>
                </c:pt>
                <c:pt idx="291">
                  <c:v>6.084144956042385</c:v>
                </c:pt>
                <c:pt idx="292">
                  <c:v>5.9710271114121074</c:v>
                </c:pt>
                <c:pt idx="293">
                  <c:v>5.8570765004706713</c:v>
                </c:pt>
                <c:pt idx="294">
                  <c:v>5.7425099099839372</c:v>
                </c:pt>
                <c:pt idx="295">
                  <c:v>5.6275299778203784</c:v>
                </c:pt>
                <c:pt idx="296">
                  <c:v>5.5123261381823436</c:v>
                </c:pt>
                <c:pt idx="297">
                  <c:v>5.3970754476416349</c:v>
                </c:pt>
                <c:pt idx="298">
                  <c:v>5.2819433133196361</c:v>
                </c:pt>
                <c:pt idx="299">
                  <c:v>5.1670841406964518</c:v>
                </c:pt>
                <c:pt idx="300">
                  <c:v>5.0526419153690822</c:v>
                </c:pt>
                <c:pt idx="301">
                  <c:v>4.9387507304767286</c:v>
                </c:pt>
                <c:pt idx="302">
                  <c:v>4.8255352693688556</c:v>
                </c:pt>
                <c:pt idx="303">
                  <c:v>4.7131112513253255</c:v>
                </c:pt>
                <c:pt idx="304">
                  <c:v>4.6015858466804183</c:v>
                </c:pt>
                <c:pt idx="305">
                  <c:v>4.4910580664999005</c:v>
                </c:pt>
                <c:pt idx="306">
                  <c:v>4.3816191309673824</c:v>
                </c:pt>
                <c:pt idx="307">
                  <c:v>4.2733528198178483</c:v>
                </c:pt>
                <c:pt idx="308">
                  <c:v>4.1663358074817989</c:v>
                </c:pt>
                <c:pt idx="309">
                  <c:v>4.0606379850494845</c:v>
                </c:pt>
                <c:pt idx="310">
                  <c:v>3.9563227707102646</c:v>
                </c:pt>
                <c:pt idx="311">
                  <c:v>3.8534474099514737</c:v>
                </c:pt>
                <c:pt idx="312">
                  <c:v>3.7520632664994533</c:v>
                </c:pt>
                <c:pt idx="313">
                  <c:v>3.6522161047421138</c:v>
                </c:pt>
                <c:pt idx="314">
                  <c:v>3.55394636417717</c:v>
                </c:pt>
                <c:pt idx="315">
                  <c:v>3.4572894262751692</c:v>
                </c:pt>
                <c:pt idx="316">
                  <c:v>3.3622758740252774</c:v>
                </c:pt>
                <c:pt idx="317">
                  <c:v>3.2689317443377837</c:v>
                </c:pt>
                <c:pt idx="318">
                  <c:v>3.1772787734069263</c:v>
                </c:pt>
                <c:pt idx="319">
                  <c:v>3.0873346350856901</c:v>
                </c:pt>
                <c:pt idx="320">
                  <c:v>2.9991131722880455</c:v>
                </c:pt>
                <c:pt idx="321">
                  <c:v>2.912624621410397</c:v>
                </c:pt>
                <c:pt idx="322">
                  <c:v>2.8278758297504663</c:v>
                </c:pt>
                <c:pt idx="323">
                  <c:v>2.7448704658965566</c:v>
                </c:pt>
                <c:pt idx="324">
                  <c:v>2.6636092230608632</c:v>
                </c:pt>
                <c:pt idx="325">
                  <c:v>2.5840900153365665</c:v>
                </c:pt>
                <c:pt idx="326">
                  <c:v>2.5063081668678304</c:v>
                </c:pt>
                <c:pt idx="327">
                  <c:v>2.430256593934045</c:v>
                </c:pt>
                <c:pt idx="328">
                  <c:v>2.3559259799637964</c:v>
                </c:pt>
                <c:pt idx="329">
                  <c:v>2.2833049435089068</c:v>
                </c:pt>
                <c:pt idx="330">
                  <c:v>2.2123801992249303</c:v>
                </c:pt>
                <c:pt idx="331">
                  <c:v>2.14313671191994</c:v>
                </c:pt>
                <c:pt idx="332">
                  <c:v>2.0755578437491868</c:v>
                </c:pt>
                <c:pt idx="333">
                  <c:v>2.0096254946480023</c:v>
                </c:pt>
                <c:pt idx="334">
                  <c:v>1.9453202361095547</c:v>
                </c:pt>
                <c:pt idx="335">
                  <c:v>1.8826214384271873</c:v>
                </c:pt>
                <c:pt idx="336">
                  <c:v>1.8215073915332116</c:v>
                </c:pt>
                <c:pt idx="337">
                  <c:v>1.7619554195770064</c:v>
                </c:pt>
                <c:pt idx="338">
                  <c:v>1.7039419893949894</c:v>
                </c:pt>
                <c:pt idx="339">
                  <c:v>1.6474428130336545</c:v>
                </c:pt>
                <c:pt idx="340">
                  <c:v>1.5924329444940444</c:v>
                </c:pt>
                <c:pt idx="341">
                  <c:v>1.5388868708723251</c:v>
                </c:pt>
                <c:pt idx="342">
                  <c:v>1.4867785980760804</c:v>
                </c:pt>
                <c:pt idx="343">
                  <c:v>1.48672802695957</c:v>
                </c:pt>
                <c:pt idx="344">
                  <c:v>1.4866774572116608</c:v>
                </c:pt>
                <c:pt idx="345">
                  <c:v>1.4866268888323155</c:v>
                </c:pt>
                <c:pt idx="346">
                  <c:v>1.4865763218215253</c:v>
                </c:pt>
                <c:pt idx="347">
                  <c:v>1.4865257561792546</c:v>
                </c:pt>
                <c:pt idx="348">
                  <c:v>1.4864751919054751</c:v>
                </c:pt>
                <c:pt idx="349">
                  <c:v>1.4864246290001617</c:v>
                </c:pt>
                <c:pt idx="350">
                  <c:v>1.4863740674633021</c:v>
                </c:pt>
                <c:pt idx="351">
                  <c:v>1.4863235072948573</c:v>
                </c:pt>
                <c:pt idx="352">
                  <c:v>1.4862729484948005</c:v>
                </c:pt>
                <c:pt idx="353">
                  <c:v>1.4862223910631123</c:v>
                </c:pt>
                <c:pt idx="354">
                  <c:v>1.4861718349997695</c:v>
                </c:pt>
                <c:pt idx="355">
                  <c:v>1.4861212803047401</c:v>
                </c:pt>
                <c:pt idx="356">
                  <c:v>1.4860707269779994</c:v>
                </c:pt>
                <c:pt idx="357">
                  <c:v>1.4860201750195294</c:v>
                </c:pt>
                <c:pt idx="358">
                  <c:v>1.485969624429293</c:v>
                </c:pt>
                <c:pt idx="359">
                  <c:v>1.4859190752072777</c:v>
                </c:pt>
                <c:pt idx="360">
                  <c:v>1.4858685273534427</c:v>
                </c:pt>
                <c:pt idx="361">
                  <c:v>1.4858179808677772</c:v>
                </c:pt>
                <c:pt idx="362">
                  <c:v>1.4857674357502457</c:v>
                </c:pt>
                <c:pt idx="363">
                  <c:v>1.485716892000827</c:v>
                </c:pt>
                <c:pt idx="364">
                  <c:v>1.4856663496194926</c:v>
                </c:pt>
                <c:pt idx="365">
                  <c:v>1.4856158086062212</c:v>
                </c:pt>
                <c:pt idx="366">
                  <c:v>1.4855652689609844</c:v>
                </c:pt>
                <c:pt idx="367">
                  <c:v>1.4855147306837555</c:v>
                </c:pt>
                <c:pt idx="368">
                  <c:v>1.4854641937745097</c:v>
                </c:pt>
                <c:pt idx="369">
                  <c:v>1.4854136582332238</c:v>
                </c:pt>
                <c:pt idx="370">
                  <c:v>1.4853631240598695</c:v>
                </c:pt>
                <c:pt idx="371">
                  <c:v>1.4853125912544272</c:v>
                </c:pt>
                <c:pt idx="372">
                  <c:v>1.4852620598168649</c:v>
                </c:pt>
                <c:pt idx="373">
                  <c:v>1.4852115297471524</c:v>
                </c:pt>
                <c:pt idx="374">
                  <c:v>1.4851610010452809</c:v>
                </c:pt>
                <c:pt idx="375">
                  <c:v>1.4851104737112024</c:v>
                </c:pt>
                <c:pt idx="376">
                  <c:v>1.4850599477449116</c:v>
                </c:pt>
                <c:pt idx="377">
                  <c:v>1.4850094231463711</c:v>
                </c:pt>
                <c:pt idx="378">
                  <c:v>1.4849588999155579</c:v>
                </c:pt>
                <c:pt idx="379">
                  <c:v>1.484908378052447</c:v>
                </c:pt>
                <c:pt idx="380">
                  <c:v>1.484857857557019</c:v>
                </c:pt>
                <c:pt idx="381">
                  <c:v>1.4848073384292366</c:v>
                </c:pt>
                <c:pt idx="382">
                  <c:v>1.4847568206690855</c:v>
                </c:pt>
                <c:pt idx="383">
                  <c:v>1.4847063042765285</c:v>
                </c:pt>
                <c:pt idx="384">
                  <c:v>1.4846557892515513</c:v>
                </c:pt>
                <c:pt idx="385">
                  <c:v>1.4846052755941201</c:v>
                </c:pt>
                <c:pt idx="386">
                  <c:v>1.4845547633042191</c:v>
                </c:pt>
                <c:pt idx="387">
                  <c:v>1.4845042523818073</c:v>
                </c:pt>
                <c:pt idx="388">
                  <c:v>1.484453742826874</c:v>
                </c:pt>
                <c:pt idx="389">
                  <c:v>1.4844032346393856</c:v>
                </c:pt>
                <c:pt idx="390">
                  <c:v>1.4843527278193207</c:v>
                </c:pt>
                <c:pt idx="391">
                  <c:v>1.4843022223666473</c:v>
                </c:pt>
                <c:pt idx="392">
                  <c:v>1.4842517182813495</c:v>
                </c:pt>
                <c:pt idx="393">
                  <c:v>1.4842012155633899</c:v>
                </c:pt>
                <c:pt idx="394">
                  <c:v>1.4841507142127544</c:v>
                </c:pt>
                <c:pt idx="395">
                  <c:v>1.4841002142294144</c:v>
                </c:pt>
                <c:pt idx="396">
                  <c:v>1.4840497156133363</c:v>
                </c:pt>
                <c:pt idx="397">
                  <c:v>1.4839992183645041</c:v>
                </c:pt>
                <c:pt idx="398">
                  <c:v>1.4839487224828858</c:v>
                </c:pt>
                <c:pt idx="399">
                  <c:v>1.4838982279684618</c:v>
                </c:pt>
                <c:pt idx="400">
                  <c:v>1.483847734821202</c:v>
                </c:pt>
                <c:pt idx="401">
                  <c:v>1.4837972430410868</c:v>
                </c:pt>
                <c:pt idx="402">
                  <c:v>1.4837467526280825</c:v>
                </c:pt>
                <c:pt idx="403">
                  <c:v>1.4836962635821678</c:v>
                </c:pt>
                <c:pt idx="404">
                  <c:v>1.4836457759033124</c:v>
                </c:pt>
                <c:pt idx="405">
                  <c:v>1.4835952895915021</c:v>
                </c:pt>
                <c:pt idx="406">
                  <c:v>1.4835448046466979</c:v>
                </c:pt>
                <c:pt idx="407">
                  <c:v>1.4834943210688838</c:v>
                </c:pt>
                <c:pt idx="408">
                  <c:v>1.4834438388580313</c:v>
                </c:pt>
                <c:pt idx="409">
                  <c:v>1.4833933580141103</c:v>
                </c:pt>
                <c:pt idx="410">
                  <c:v>1.483342878537103</c:v>
                </c:pt>
                <c:pt idx="411">
                  <c:v>1.483292400426981</c:v>
                </c:pt>
                <c:pt idx="412">
                  <c:v>1.4832419236837193</c:v>
                </c:pt>
                <c:pt idx="413">
                  <c:v>1.4831914483072861</c:v>
                </c:pt>
                <c:pt idx="414">
                  <c:v>1.48314097429766</c:v>
                </c:pt>
                <c:pt idx="415">
                  <c:v>1.4830905016548215</c:v>
                </c:pt>
                <c:pt idx="416">
                  <c:v>1.4830400303787385</c:v>
                </c:pt>
                <c:pt idx="417">
                  <c:v>1.4829895604693846</c:v>
                </c:pt>
                <c:pt idx="418">
                  <c:v>1.4829390919267311</c:v>
                </c:pt>
                <c:pt idx="419">
                  <c:v>1.482888624750764</c:v>
                </c:pt>
                <c:pt idx="420">
                  <c:v>1.4828381589414459</c:v>
                </c:pt>
                <c:pt idx="421">
                  <c:v>1.4827876944987644</c:v>
                </c:pt>
                <c:pt idx="422">
                  <c:v>1.4827372314226821</c:v>
                </c:pt>
                <c:pt idx="423">
                  <c:v>1.482686769713176</c:v>
                </c:pt>
                <c:pt idx="424">
                  <c:v>1.4826363093702248</c:v>
                </c:pt>
                <c:pt idx="425">
                  <c:v>1.4825858503938001</c:v>
                </c:pt>
                <c:pt idx="426">
                  <c:v>1.482535392783868</c:v>
                </c:pt>
                <c:pt idx="427">
                  <c:v>1.4824849365404216</c:v>
                </c:pt>
                <c:pt idx="428">
                  <c:v>1.4824344816634216</c:v>
                </c:pt>
                <c:pt idx="429">
                  <c:v>1.4823840281528433</c:v>
                </c:pt>
                <c:pt idx="430">
                  <c:v>1.4823335760086653</c:v>
                </c:pt>
                <c:pt idx="431">
                  <c:v>1.4822831252308628</c:v>
                </c:pt>
                <c:pt idx="432">
                  <c:v>1.482232675819402</c:v>
                </c:pt>
                <c:pt idx="433">
                  <c:v>1.4821822277742669</c:v>
                </c:pt>
                <c:pt idx="434">
                  <c:v>1.4821317810954238</c:v>
                </c:pt>
                <c:pt idx="435">
                  <c:v>1.4820813357828566</c:v>
                </c:pt>
                <c:pt idx="436">
                  <c:v>1.4820308918365335</c:v>
                </c:pt>
                <c:pt idx="437">
                  <c:v>1.4819804492564259</c:v>
                </c:pt>
                <c:pt idx="438">
                  <c:v>1.4819300080425162</c:v>
                </c:pt>
                <c:pt idx="439">
                  <c:v>1.4818795681947723</c:v>
                </c:pt>
                <c:pt idx="440">
                  <c:v>1.4818291297131694</c:v>
                </c:pt>
                <c:pt idx="441">
                  <c:v>1.4817786925976897</c:v>
                </c:pt>
                <c:pt idx="442">
                  <c:v>1.4817282568482959</c:v>
                </c:pt>
                <c:pt idx="443">
                  <c:v>1.481677822464972</c:v>
                </c:pt>
                <c:pt idx="444">
                  <c:v>1.4816273894476844</c:v>
                </c:pt>
                <c:pt idx="445">
                  <c:v>1.4815769577964186</c:v>
                </c:pt>
                <c:pt idx="446">
                  <c:v>1.4815265275111305</c:v>
                </c:pt>
                <c:pt idx="447">
                  <c:v>1.4814760985918145</c:v>
                </c:pt>
                <c:pt idx="448">
                  <c:v>1.4814256710384353</c:v>
                </c:pt>
                <c:pt idx="449">
                  <c:v>1.4813752448509661</c:v>
                </c:pt>
                <c:pt idx="450">
                  <c:v>1.4813248200293874</c:v>
                </c:pt>
                <c:pt idx="451">
                  <c:v>1.4812743965736672</c:v>
                </c:pt>
                <c:pt idx="452">
                  <c:v>1.4812239744837843</c:v>
                </c:pt>
                <c:pt idx="453">
                  <c:v>1.4811735537597119</c:v>
                </c:pt>
                <c:pt idx="454">
                  <c:v>1.4811231344014235</c:v>
                </c:pt>
                <c:pt idx="455">
                  <c:v>1.4810727164088924</c:v>
                </c:pt>
                <c:pt idx="456">
                  <c:v>1.481022299782099</c:v>
                </c:pt>
                <c:pt idx="457">
                  <c:v>1.4809718845210096</c:v>
                </c:pt>
                <c:pt idx="458">
                  <c:v>1.4809214706256011</c:v>
                </c:pt>
                <c:pt idx="459">
                  <c:v>1.4808710580958522</c:v>
                </c:pt>
                <c:pt idx="460">
                  <c:v>1.4808206469317309</c:v>
                </c:pt>
                <c:pt idx="461">
                  <c:v>1.4807702371332194</c:v>
                </c:pt>
                <c:pt idx="462">
                  <c:v>1.4807198287002858</c:v>
                </c:pt>
                <c:pt idx="463">
                  <c:v>1.480669421632907</c:v>
                </c:pt>
                <c:pt idx="464">
                  <c:v>1.4806190159310528</c:v>
                </c:pt>
                <c:pt idx="465">
                  <c:v>1.4805686115947054</c:v>
                </c:pt>
                <c:pt idx="466">
                  <c:v>1.4805182086238347</c:v>
                </c:pt>
                <c:pt idx="467">
                  <c:v>1.4804678070184121</c:v>
                </c:pt>
                <c:pt idx="468">
                  <c:v>1.4804174067784164</c:v>
                </c:pt>
                <c:pt idx="469">
                  <c:v>1.4803670079038298</c:v>
                </c:pt>
                <c:pt idx="470">
                  <c:v>1.4803166103946133</c:v>
                </c:pt>
                <c:pt idx="471">
                  <c:v>1.4802662142507437</c:v>
                </c:pt>
                <c:pt idx="472">
                  <c:v>1.4802158194722015</c:v>
                </c:pt>
                <c:pt idx="473">
                  <c:v>1.480165426058953</c:v>
                </c:pt>
                <c:pt idx="474">
                  <c:v>1.4801150340109821</c:v>
                </c:pt>
                <c:pt idx="475">
                  <c:v>1.4800646433282605</c:v>
                </c:pt>
                <c:pt idx="476">
                  <c:v>1.4800142540107544</c:v>
                </c:pt>
                <c:pt idx="477">
                  <c:v>1.479963866058446</c:v>
                </c:pt>
                <c:pt idx="478">
                  <c:v>1.4799134794713069</c:v>
                </c:pt>
                <c:pt idx="479">
                  <c:v>1.4798630942493141</c:v>
                </c:pt>
                <c:pt idx="480">
                  <c:v>1.4798127103924426</c:v>
                </c:pt>
                <c:pt idx="481">
                  <c:v>1.4797623279006604</c:v>
                </c:pt>
                <c:pt idx="482">
                  <c:v>1.4797119467739517</c:v>
                </c:pt>
                <c:pt idx="483">
                  <c:v>1.4796615670122826</c:v>
                </c:pt>
                <c:pt idx="484">
                  <c:v>1.4796111886156265</c:v>
                </c:pt>
                <c:pt idx="485">
                  <c:v>1.4795608115839656</c:v>
                </c:pt>
                <c:pt idx="486">
                  <c:v>1.4795104359172697</c:v>
                </c:pt>
                <c:pt idx="487">
                  <c:v>1.479460061615514</c:v>
                </c:pt>
                <c:pt idx="488">
                  <c:v>1.4794096886786701</c:v>
                </c:pt>
                <c:pt idx="489">
                  <c:v>1.4793593171067201</c:v>
                </c:pt>
                <c:pt idx="490">
                  <c:v>1.4793089468996286</c:v>
                </c:pt>
                <c:pt idx="491">
                  <c:v>1.4792585780573759</c:v>
                </c:pt>
                <c:pt idx="492">
                  <c:v>1.4792082105799373</c:v>
                </c:pt>
                <c:pt idx="493">
                  <c:v>1.4791578444672808</c:v>
                </c:pt>
                <c:pt idx="494">
                  <c:v>1.4791074797193868</c:v>
                </c:pt>
                <c:pt idx="495">
                  <c:v>1.4790571163362287</c:v>
                </c:pt>
                <c:pt idx="496">
                  <c:v>1.4790067543177869</c:v>
                </c:pt>
                <c:pt idx="497">
                  <c:v>1.4789563936640224</c:v>
                </c:pt>
                <c:pt idx="498">
                  <c:v>1.4789060343749174</c:v>
                </c:pt>
                <c:pt idx="499">
                  <c:v>1.4788556764504417</c:v>
                </c:pt>
                <c:pt idx="500">
                  <c:v>1.4788053198905775</c:v>
                </c:pt>
                <c:pt idx="501">
                  <c:v>1.4787549646952964</c:v>
                </c:pt>
                <c:pt idx="502">
                  <c:v>1.4787046108645665</c:v>
                </c:pt>
                <c:pt idx="503">
                  <c:v>1.4786542583983699</c:v>
                </c:pt>
                <c:pt idx="504">
                  <c:v>1.4786039072966783</c:v>
                </c:pt>
                <c:pt idx="505">
                  <c:v>1.478553557559465</c:v>
                </c:pt>
                <c:pt idx="506">
                  <c:v>1.4785032091867034</c:v>
                </c:pt>
                <c:pt idx="507">
                  <c:v>1.4784528621783704</c:v>
                </c:pt>
                <c:pt idx="508">
                  <c:v>1.4784025165344445</c:v>
                </c:pt>
                <c:pt idx="509">
                  <c:v>1.4783521722548905</c:v>
                </c:pt>
                <c:pt idx="510">
                  <c:v>1.478301829339685</c:v>
                </c:pt>
                <c:pt idx="511">
                  <c:v>1.4782514877888158</c:v>
                </c:pt>
                <c:pt idx="512">
                  <c:v>1.4782011476022383</c:v>
                </c:pt>
                <c:pt idx="513">
                  <c:v>1.4781508087799367</c:v>
                </c:pt>
                <c:pt idx="514">
                  <c:v>1.4781004713218788</c:v>
                </c:pt>
                <c:pt idx="515">
                  <c:v>1.4780501352280577</c:v>
                </c:pt>
                <c:pt idx="516">
                  <c:v>1.4779998004984218</c:v>
                </c:pt>
                <c:pt idx="517">
                  <c:v>1.4779494671329623</c:v>
                </c:pt>
                <c:pt idx="518">
                  <c:v>1.4778991351316488</c:v>
                </c:pt>
                <c:pt idx="519">
                  <c:v>1.4778488044944549</c:v>
                </c:pt>
                <c:pt idx="520">
                  <c:v>1.4777984752213573</c:v>
                </c:pt>
                <c:pt idx="521">
                  <c:v>1.477748147312326</c:v>
                </c:pt>
                <c:pt idx="522">
                  <c:v>1.4776978207673466</c:v>
                </c:pt>
                <c:pt idx="523">
                  <c:v>1.4776474955863819</c:v>
                </c:pt>
                <c:pt idx="524">
                  <c:v>1.477597171769407</c:v>
                </c:pt>
                <c:pt idx="525">
                  <c:v>1.4775468493164041</c:v>
                </c:pt>
                <c:pt idx="526">
                  <c:v>1.4774965282273431</c:v>
                </c:pt>
                <c:pt idx="527">
                  <c:v>1.4774462085022009</c:v>
                </c:pt>
                <c:pt idx="528">
                  <c:v>1.4773958901409383</c:v>
                </c:pt>
                <c:pt idx="529">
                  <c:v>1.4773455731435448</c:v>
                </c:pt>
                <c:pt idx="530">
                  <c:v>1.4772952575099882</c:v>
                </c:pt>
                <c:pt idx="531">
                  <c:v>1.477244943240251</c:v>
                </c:pt>
                <c:pt idx="532">
                  <c:v>1.4771946303342958</c:v>
                </c:pt>
                <c:pt idx="533">
                  <c:v>1.4771443187921083</c:v>
                </c:pt>
                <c:pt idx="534">
                  <c:v>1.4770940086136566</c:v>
                </c:pt>
                <c:pt idx="535">
                  <c:v>1.477043699798914</c:v>
                </c:pt>
                <c:pt idx="536">
                  <c:v>1.4769933923478558</c:v>
                </c:pt>
                <c:pt idx="537">
                  <c:v>1.4769430862604587</c:v>
                </c:pt>
                <c:pt idx="538">
                  <c:v>1.4768927815366997</c:v>
                </c:pt>
                <c:pt idx="539">
                  <c:v>1.4768424781765415</c:v>
                </c:pt>
                <c:pt idx="540">
                  <c:v>1.4767921761799698</c:v>
                </c:pt>
                <c:pt idx="541">
                  <c:v>1.4767418755469617</c:v>
                </c:pt>
                <c:pt idx="542">
                  <c:v>1.4766915762774815</c:v>
                </c:pt>
                <c:pt idx="543">
                  <c:v>1.4766412783715026</c:v>
                </c:pt>
                <c:pt idx="544">
                  <c:v>1.4765909818290055</c:v>
                </c:pt>
                <c:pt idx="545">
                  <c:v>1.4765406866499653</c:v>
                </c:pt>
                <c:pt idx="546">
                  <c:v>1.4764903928343571</c:v>
                </c:pt>
                <c:pt idx="547">
                  <c:v>1.476440100382149</c:v>
                </c:pt>
                <c:pt idx="548">
                  <c:v>1.4763898092933232</c:v>
                </c:pt>
                <c:pt idx="549">
                  <c:v>1.4763395195678459</c:v>
                </c:pt>
                <c:pt idx="550">
                  <c:v>1.4762892312056959</c:v>
                </c:pt>
                <c:pt idx="551">
                  <c:v>1.4762389442068482</c:v>
                </c:pt>
                <c:pt idx="552">
                  <c:v>1.4761886585712745</c:v>
                </c:pt>
                <c:pt idx="553">
                  <c:v>1.4761383742989516</c:v>
                </c:pt>
                <c:pt idx="554">
                  <c:v>1.4760880913898529</c:v>
                </c:pt>
                <c:pt idx="555">
                  <c:v>1.476037809843957</c:v>
                </c:pt>
                <c:pt idx="556">
                  <c:v>1.4759875296612304</c:v>
                </c:pt>
                <c:pt idx="557">
                  <c:v>1.4759372508416533</c:v>
                </c:pt>
                <c:pt idx="558">
                  <c:v>1.4758869733851974</c:v>
                </c:pt>
                <c:pt idx="559">
                  <c:v>1.4758366972918378</c:v>
                </c:pt>
                <c:pt idx="560">
                  <c:v>1.4757864225615513</c:v>
                </c:pt>
                <c:pt idx="561">
                  <c:v>1.4757361491943026</c:v>
                </c:pt>
                <c:pt idx="562">
                  <c:v>1.4756858771900792</c:v>
                </c:pt>
                <c:pt idx="563">
                  <c:v>1.4756356065488507</c:v>
                </c:pt>
                <c:pt idx="564">
                  <c:v>1.4755853372705907</c:v>
                </c:pt>
                <c:pt idx="565">
                  <c:v>1.4755350693552725</c:v>
                </c:pt>
                <c:pt idx="566">
                  <c:v>1.4754848028028693</c:v>
                </c:pt>
                <c:pt idx="567">
                  <c:v>1.4754345376133564</c:v>
                </c:pt>
                <c:pt idx="568">
                  <c:v>1.4753842737867178</c:v>
                </c:pt>
                <c:pt idx="569">
                  <c:v>1.4753340113229072</c:v>
                </c:pt>
                <c:pt idx="570">
                  <c:v>1.4752837502219176</c:v>
                </c:pt>
                <c:pt idx="571">
                  <c:v>1.4752334904837205</c:v>
                </c:pt>
                <c:pt idx="572">
                  <c:v>1.4751832321082823</c:v>
                </c:pt>
                <c:pt idx="573">
                  <c:v>1.4751329750955833</c:v>
                </c:pt>
                <c:pt idx="574">
                  <c:v>1.4750827194455933</c:v>
                </c:pt>
                <c:pt idx="575">
                  <c:v>1.4750324651582911</c:v>
                </c:pt>
                <c:pt idx="576">
                  <c:v>1.4749822122336553</c:v>
                </c:pt>
                <c:pt idx="577">
                  <c:v>1.4749319606716469</c:v>
                </c:pt>
                <c:pt idx="578">
                  <c:v>1.4748817104722516</c:v>
                </c:pt>
                <c:pt idx="579">
                  <c:v>1.474831461635441</c:v>
                </c:pt>
                <c:pt idx="580">
                  <c:v>1.4747812141611867</c:v>
                </c:pt>
                <c:pt idx="581">
                  <c:v>1.4747309680494656</c:v>
                </c:pt>
                <c:pt idx="582">
                  <c:v>1.4746807233002581</c:v>
                </c:pt>
                <c:pt idx="583">
                  <c:v>1.4746304799135199</c:v>
                </c:pt>
                <c:pt idx="584">
                  <c:v>1.4745802378892492</c:v>
                </c:pt>
                <c:pt idx="585">
                  <c:v>1.4745299972274033</c:v>
                </c:pt>
                <c:pt idx="586">
                  <c:v>1.4744797579279609</c:v>
                </c:pt>
                <c:pt idx="587">
                  <c:v>1.4744295199909008</c:v>
                </c:pt>
                <c:pt idx="588">
                  <c:v>1.4743792834161944</c:v>
                </c:pt>
                <c:pt idx="589">
                  <c:v>1.4743290482038169</c:v>
                </c:pt>
                <c:pt idx="590">
                  <c:v>1.4742788143537382</c:v>
                </c:pt>
                <c:pt idx="591">
                  <c:v>1.4742285818659351</c:v>
                </c:pt>
                <c:pt idx="592">
                  <c:v>1.4741783507403881</c:v>
                </c:pt>
                <c:pt idx="593">
                  <c:v>1.4741281209770634</c:v>
                </c:pt>
                <c:pt idx="594">
                  <c:v>1.4740778925759379</c:v>
                </c:pt>
                <c:pt idx="595">
                  <c:v>1.4740276655369886</c:v>
                </c:pt>
                <c:pt idx="596">
                  <c:v>1.4739774398601853</c:v>
                </c:pt>
                <c:pt idx="597">
                  <c:v>1.4739272155455065</c:v>
                </c:pt>
                <c:pt idx="598">
                  <c:v>1.473876992592924</c:v>
                </c:pt>
                <c:pt idx="599">
                  <c:v>1.4738267710024111</c:v>
                </c:pt>
                <c:pt idx="600">
                  <c:v>1.4737765507739446</c:v>
                </c:pt>
                <c:pt idx="601">
                  <c:v>1.473726331907498</c:v>
                </c:pt>
                <c:pt idx="602">
                  <c:v>1.4736761144030481</c:v>
                </c:pt>
                <c:pt idx="603">
                  <c:v>1.4736258982605648</c:v>
                </c:pt>
                <c:pt idx="604">
                  <c:v>1.4735756834800302</c:v>
                </c:pt>
                <c:pt idx="605">
                  <c:v>1.4735254700614107</c:v>
                </c:pt>
                <c:pt idx="606">
                  <c:v>1.4734752580046795</c:v>
                </c:pt>
                <c:pt idx="607">
                  <c:v>1.4734250473098207</c:v>
                </c:pt>
                <c:pt idx="608">
                  <c:v>1.4733748379767952</c:v>
                </c:pt>
                <c:pt idx="609">
                  <c:v>1.4733246300055889</c:v>
                </c:pt>
                <c:pt idx="610">
                  <c:v>1.4732744233961768</c:v>
                </c:pt>
                <c:pt idx="611">
                  <c:v>1.4732242181485251</c:v>
                </c:pt>
                <c:pt idx="612">
                  <c:v>1.4731740142626126</c:v>
                </c:pt>
                <c:pt idx="613">
                  <c:v>1.4731238117384091</c:v>
                </c:pt>
                <c:pt idx="614">
                  <c:v>1.4730736105758968</c:v>
                </c:pt>
                <c:pt idx="615">
                  <c:v>1.4730234107750437</c:v>
                </c:pt>
                <c:pt idx="616">
                  <c:v>1.4729732123358286</c:v>
                </c:pt>
                <c:pt idx="617">
                  <c:v>1.4729230152582229</c:v>
                </c:pt>
                <c:pt idx="618">
                  <c:v>1.4728728195422054</c:v>
                </c:pt>
                <c:pt idx="619">
                  <c:v>1.4728226251877441</c:v>
                </c:pt>
                <c:pt idx="620">
                  <c:v>1.4727724321948141</c:v>
                </c:pt>
                <c:pt idx="621">
                  <c:v>1.4727222405633924</c:v>
                </c:pt>
                <c:pt idx="622">
                  <c:v>1.4726720502934505</c:v>
                </c:pt>
                <c:pt idx="623">
                  <c:v>1.4726218613849724</c:v>
                </c:pt>
                <c:pt idx="624">
                  <c:v>1.4725716738379155</c:v>
                </c:pt>
                <c:pt idx="625">
                  <c:v>1.472521487652271</c:v>
                </c:pt>
                <c:pt idx="626">
                  <c:v>1.4724713028280068</c:v>
                </c:pt>
                <c:pt idx="627">
                  <c:v>1.4724211193650909</c:v>
                </c:pt>
                <c:pt idx="628">
                  <c:v>1.4723709372635074</c:v>
                </c:pt>
                <c:pt idx="629">
                  <c:v>1.4723207565232226</c:v>
                </c:pt>
                <c:pt idx="630">
                  <c:v>1.4722705771442168</c:v>
                </c:pt>
                <c:pt idx="631">
                  <c:v>1.4722203991264635</c:v>
                </c:pt>
                <c:pt idx="632">
                  <c:v>1.4721702224699378</c:v>
                </c:pt>
                <c:pt idx="633">
                  <c:v>1.4721200471746076</c:v>
                </c:pt>
                <c:pt idx="634">
                  <c:v>1.4720698732404518</c:v>
                </c:pt>
                <c:pt idx="635">
                  <c:v>1.4720197006674489</c:v>
                </c:pt>
                <c:pt idx="636">
                  <c:v>1.4719695294555688</c:v>
                </c:pt>
                <c:pt idx="637">
                  <c:v>1.4719193596047795</c:v>
                </c:pt>
                <c:pt idx="638">
                  <c:v>1.4718691911150685</c:v>
                </c:pt>
                <c:pt idx="639">
                  <c:v>1.4718190239864057</c:v>
                </c:pt>
                <c:pt idx="640">
                  <c:v>1.4717688582187609</c:v>
                </c:pt>
                <c:pt idx="641">
                  <c:v>1.4717186938121092</c:v>
                </c:pt>
                <c:pt idx="642">
                  <c:v>1.4716685307664292</c:v>
                </c:pt>
                <c:pt idx="643">
                  <c:v>1.4716183690816873</c:v>
                </c:pt>
                <c:pt idx="644">
                  <c:v>1.471568208757871</c:v>
                </c:pt>
                <c:pt idx="645">
                  <c:v>1.4715180497949447</c:v>
                </c:pt>
                <c:pt idx="646">
                  <c:v>1.4714678921928837</c:v>
                </c:pt>
                <c:pt idx="647">
                  <c:v>1.4714177359516682</c:v>
                </c:pt>
                <c:pt idx="648">
                  <c:v>1.471367581071263</c:v>
                </c:pt>
                <c:pt idx="649">
                  <c:v>1.4713174275516501</c:v>
                </c:pt>
                <c:pt idx="650">
                  <c:v>1.4712672753927958</c:v>
                </c:pt>
                <c:pt idx="651">
                  <c:v>1.4712171245946877</c:v>
                </c:pt>
                <c:pt idx="652">
                  <c:v>1.471166975157292</c:v>
                </c:pt>
                <c:pt idx="653">
                  <c:v>1.4711168270805768</c:v>
                </c:pt>
                <c:pt idx="654">
                  <c:v>1.4710666803645314</c:v>
                </c:pt>
                <c:pt idx="655">
                  <c:v>1.4710165350091167</c:v>
                </c:pt>
                <c:pt idx="656">
                  <c:v>1.4709663910143167</c:v>
                </c:pt>
                <c:pt idx="657">
                  <c:v>1.4709162483800995</c:v>
                </c:pt>
                <c:pt idx="658">
                  <c:v>1.4708661071064402</c:v>
                </c:pt>
                <c:pt idx="659">
                  <c:v>1.4708159671933192</c:v>
                </c:pt>
                <c:pt idx="660">
                  <c:v>1.470765828640701</c:v>
                </c:pt>
                <c:pt idx="661">
                  <c:v>1.4707156914485662</c:v>
                </c:pt>
                <c:pt idx="662">
                  <c:v>1.4706655556168844</c:v>
                </c:pt>
                <c:pt idx="663">
                  <c:v>1.470615421145645</c:v>
                </c:pt>
                <c:pt idx="664">
                  <c:v>1.4705652880347966</c:v>
                </c:pt>
                <c:pt idx="665">
                  <c:v>1.4705151562843337</c:v>
                </c:pt>
                <c:pt idx="666">
                  <c:v>1.4704650258942245</c:v>
                </c:pt>
                <c:pt idx="667">
                  <c:v>1.4704148968644457</c:v>
                </c:pt>
                <c:pt idx="668">
                  <c:v>1.4703647691949691</c:v>
                </c:pt>
                <c:pt idx="669">
                  <c:v>1.4703146428857679</c:v>
                </c:pt>
                <c:pt idx="670">
                  <c:v>1.470264517936819</c:v>
                </c:pt>
                <c:pt idx="671">
                  <c:v>1.4702143943480959</c:v>
                </c:pt>
                <c:pt idx="672">
                  <c:v>1.4701642721195718</c:v>
                </c:pt>
                <c:pt idx="673">
                  <c:v>1.4701141512512255</c:v>
                </c:pt>
                <c:pt idx="674">
                  <c:v>1.4700640317430249</c:v>
                </c:pt>
                <c:pt idx="675">
                  <c:v>1.4700139135949488</c:v>
                </c:pt>
                <c:pt idx="676">
                  <c:v>1.4699637968069723</c:v>
                </c:pt>
                <c:pt idx="677">
                  <c:v>1.4699136813790634</c:v>
                </c:pt>
                <c:pt idx="678">
                  <c:v>1.4698635673112026</c:v>
                </c:pt>
                <c:pt idx="679">
                  <c:v>1.4698134546033614</c:v>
                </c:pt>
                <c:pt idx="680">
                  <c:v>1.4697633432555133</c:v>
                </c:pt>
                <c:pt idx="681">
                  <c:v>1.4697132332676386</c:v>
                </c:pt>
                <c:pt idx="682">
                  <c:v>1.4696631246397054</c:v>
                </c:pt>
                <c:pt idx="683">
                  <c:v>1.4696130173716888</c:v>
                </c:pt>
                <c:pt idx="684">
                  <c:v>1.4695629114635711</c:v>
                </c:pt>
                <c:pt idx="685">
                  <c:v>1.4695128069153114</c:v>
                </c:pt>
                <c:pt idx="686">
                  <c:v>1.4694627037268972</c:v>
                </c:pt>
                <c:pt idx="687">
                  <c:v>1.4694126018982985</c:v>
                </c:pt>
                <c:pt idx="688">
                  <c:v>1.4693625014294867</c:v>
                </c:pt>
                <c:pt idx="689">
                  <c:v>1.4693124023204369</c:v>
                </c:pt>
                <c:pt idx="690">
                  <c:v>1.4692623045711279</c:v>
                </c:pt>
                <c:pt idx="691">
                  <c:v>1.4692122081815384</c:v>
                </c:pt>
                <c:pt idx="692">
                  <c:v>1.4691621131516293</c:v>
                </c:pt>
                <c:pt idx="693">
                  <c:v>1.4691120194813845</c:v>
                </c:pt>
                <c:pt idx="694">
                  <c:v>1.4690619271707774</c:v>
                </c:pt>
                <c:pt idx="695">
                  <c:v>1.4690118362197708</c:v>
                </c:pt>
                <c:pt idx="696">
                  <c:v>1.4689617466283611</c:v>
                </c:pt>
                <c:pt idx="697">
                  <c:v>1.4689116583965021</c:v>
                </c:pt>
                <c:pt idx="698">
                  <c:v>1.4688615715241795</c:v>
                </c:pt>
                <c:pt idx="699">
                  <c:v>1.4688114860113615</c:v>
                </c:pt>
                <c:pt idx="700">
                  <c:v>1.4687614018580248</c:v>
                </c:pt>
                <c:pt idx="701">
                  <c:v>1.4687113190641483</c:v>
                </c:pt>
                <c:pt idx="702">
                  <c:v>1.4686612376296999</c:v>
                </c:pt>
                <c:pt idx="703">
                  <c:v>1.4686111575546619</c:v>
                </c:pt>
                <c:pt idx="704">
                  <c:v>1.4685610788389969</c:v>
                </c:pt>
                <c:pt idx="705">
                  <c:v>1.4685110014826854</c:v>
                </c:pt>
                <c:pt idx="706">
                  <c:v>1.4684609254857044</c:v>
                </c:pt>
                <c:pt idx="707">
                  <c:v>1.4684108508480271</c:v>
                </c:pt>
                <c:pt idx="708">
                  <c:v>1.468360777569627</c:v>
                </c:pt>
                <c:pt idx="709">
                  <c:v>1.4683107056504703</c:v>
                </c:pt>
                <c:pt idx="710">
                  <c:v>1.468260635090548</c:v>
                </c:pt>
                <c:pt idx="711">
                  <c:v>1.4682105658898177</c:v>
                </c:pt>
                <c:pt idx="712">
                  <c:v>1.4681604980482685</c:v>
                </c:pt>
                <c:pt idx="713">
                  <c:v>1.4681104315658615</c:v>
                </c:pt>
                <c:pt idx="714">
                  <c:v>1.4680603664425806</c:v>
                </c:pt>
                <c:pt idx="715">
                  <c:v>1.4680103026783957</c:v>
                </c:pt>
                <c:pt idx="716">
                  <c:v>1.4679602402732819</c:v>
                </c:pt>
                <c:pt idx="717">
                  <c:v>1.467910179227216</c:v>
                </c:pt>
                <c:pt idx="718">
                  <c:v>1.4678601195401679</c:v>
                </c:pt>
                <c:pt idx="719">
                  <c:v>1.4678100612121181</c:v>
                </c:pt>
                <c:pt idx="720">
                  <c:v>1.4677600042430381</c:v>
                </c:pt>
                <c:pt idx="721">
                  <c:v>1.4677099486328942</c:v>
                </c:pt>
                <c:pt idx="722">
                  <c:v>1.4676598943816757</c:v>
                </c:pt>
                <c:pt idx="723">
                  <c:v>1.4676098414893364</c:v>
                </c:pt>
                <c:pt idx="724">
                  <c:v>1.4675597899558745</c:v>
                </c:pt>
                <c:pt idx="725">
                  <c:v>1.4675097397812493</c:v>
                </c:pt>
                <c:pt idx="726">
                  <c:v>1.4674596909654429</c:v>
                </c:pt>
                <c:pt idx="727">
                  <c:v>1.4674096435084216</c:v>
                </c:pt>
                <c:pt idx="728">
                  <c:v>1.4673595974101623</c:v>
                </c:pt>
                <c:pt idx="729">
                  <c:v>1.4673095526706437</c:v>
                </c:pt>
                <c:pt idx="730">
                  <c:v>1.4672595092898373</c:v>
                </c:pt>
                <c:pt idx="731">
                  <c:v>1.4672094672677165</c:v>
                </c:pt>
                <c:pt idx="732">
                  <c:v>1.4671594266042511</c:v>
                </c:pt>
                <c:pt idx="733">
                  <c:v>1.4671093872994323</c:v>
                </c:pt>
                <c:pt idx="734">
                  <c:v>1.4670593493532103</c:v>
                </c:pt>
                <c:pt idx="735">
                  <c:v>1.4670093127655797</c:v>
                </c:pt>
                <c:pt idx="736">
                  <c:v>1.466959277536505</c:v>
                </c:pt>
                <c:pt idx="737">
                  <c:v>1.466909243665965</c:v>
                </c:pt>
                <c:pt idx="738">
                  <c:v>1.4668592111539294</c:v>
                </c:pt>
                <c:pt idx="739">
                  <c:v>1.4668091800003751</c:v>
                </c:pt>
                <c:pt idx="740">
                  <c:v>1.4667591502052808</c:v>
                </c:pt>
                <c:pt idx="741">
                  <c:v>1.4667091217686163</c:v>
                </c:pt>
                <c:pt idx="742">
                  <c:v>1.4666590946903497</c:v>
                </c:pt>
                <c:pt idx="743">
                  <c:v>1.4666090689704649</c:v>
                </c:pt>
                <c:pt idx="744">
                  <c:v>1.4665590446089318</c:v>
                </c:pt>
                <c:pt idx="745">
                  <c:v>1.466509021605729</c:v>
                </c:pt>
                <c:pt idx="746">
                  <c:v>1.4664589999608264</c:v>
                </c:pt>
                <c:pt idx="747">
                  <c:v>1.466408979674199</c:v>
                </c:pt>
                <c:pt idx="748">
                  <c:v>1.4663589607458238</c:v>
                </c:pt>
                <c:pt idx="749">
                  <c:v>1.4663089431756706</c:v>
                </c:pt>
                <c:pt idx="750">
                  <c:v>1.4662589269637163</c:v>
                </c:pt>
                <c:pt idx="751">
                  <c:v>1.466208912109936</c:v>
                </c:pt>
                <c:pt idx="752">
                  <c:v>1.4661588986143048</c:v>
                </c:pt>
                <c:pt idx="753">
                  <c:v>1.4661088864767908</c:v>
                </c:pt>
                <c:pt idx="754">
                  <c:v>1.4660588756973798</c:v>
                </c:pt>
                <c:pt idx="755">
                  <c:v>1.4660088662760309</c:v>
                </c:pt>
                <c:pt idx="756">
                  <c:v>1.4659588582127352</c:v>
                </c:pt>
                <c:pt idx="757">
                  <c:v>1.465908851507459</c:v>
                </c:pt>
                <c:pt idx="758">
                  <c:v>1.4658588461601703</c:v>
                </c:pt>
                <c:pt idx="759">
                  <c:v>1.4658088421708495</c:v>
                </c:pt>
                <c:pt idx="760">
                  <c:v>1.4657588395394736</c:v>
                </c:pt>
                <c:pt idx="761">
                  <c:v>1.4657088382660159</c:v>
                </c:pt>
                <c:pt idx="762">
                  <c:v>1.4656588383504445</c:v>
                </c:pt>
                <c:pt idx="763">
                  <c:v>1.4656088397927416</c:v>
                </c:pt>
                <c:pt idx="764">
                  <c:v>1.4655588425928752</c:v>
                </c:pt>
                <c:pt idx="765">
                  <c:v>1.4655088467508275</c:v>
                </c:pt>
                <c:pt idx="766">
                  <c:v>1.465458852266563</c:v>
                </c:pt>
                <c:pt idx="767">
                  <c:v>1.4654088591400658</c:v>
                </c:pt>
                <c:pt idx="768">
                  <c:v>1.4653588673713038</c:v>
                </c:pt>
                <c:pt idx="769">
                  <c:v>1.4653088769602522</c:v>
                </c:pt>
                <c:pt idx="770">
                  <c:v>1.4652588879068897</c:v>
                </c:pt>
                <c:pt idx="771">
                  <c:v>1.4652089002111808</c:v>
                </c:pt>
                <c:pt idx="772">
                  <c:v>1.465158913873104</c:v>
                </c:pt>
                <c:pt idx="773">
                  <c:v>1.4651089288926435</c:v>
                </c:pt>
                <c:pt idx="774">
                  <c:v>1.465058945269762</c:v>
                </c:pt>
                <c:pt idx="775">
                  <c:v>1.4650089630044381</c:v>
                </c:pt>
                <c:pt idx="776">
                  <c:v>1.4649589820966433</c:v>
                </c:pt>
                <c:pt idx="777">
                  <c:v>1.4649090025463565</c:v>
                </c:pt>
                <c:pt idx="778">
                  <c:v>1.4648590243535509</c:v>
                </c:pt>
                <c:pt idx="779">
                  <c:v>1.4648090475182034</c:v>
                </c:pt>
                <c:pt idx="780">
                  <c:v>1.4647590720402786</c:v>
                </c:pt>
                <c:pt idx="781">
                  <c:v>1.4647090979197568</c:v>
                </c:pt>
                <c:pt idx="782">
                  <c:v>1.4646591251566132</c:v>
                </c:pt>
                <c:pt idx="783">
                  <c:v>1.4646091537508248</c:v>
                </c:pt>
                <c:pt idx="784">
                  <c:v>1.4645591837023595</c:v>
                </c:pt>
                <c:pt idx="785">
                  <c:v>1.4645092150111942</c:v>
                </c:pt>
                <c:pt idx="786">
                  <c:v>1.4644592476773042</c:v>
                </c:pt>
                <c:pt idx="787">
                  <c:v>1.4644092817006626</c:v>
                </c:pt>
                <c:pt idx="788">
                  <c:v>1.4643593170812412</c:v>
                </c:pt>
                <c:pt idx="789">
                  <c:v>1.4643093538190275</c:v>
                </c:pt>
                <c:pt idx="790">
                  <c:v>1.4642593919139735</c:v>
                </c:pt>
                <c:pt idx="791">
                  <c:v>1.4642094313660703</c:v>
                </c:pt>
                <c:pt idx="792">
                  <c:v>1.4641594721752931</c:v>
                </c:pt>
                <c:pt idx="793">
                  <c:v>1.4641095143416027</c:v>
                </c:pt>
                <c:pt idx="794">
                  <c:v>1.4640595578649886</c:v>
                </c:pt>
                <c:pt idx="795">
                  <c:v>1.464009602745417</c:v>
                </c:pt>
                <c:pt idx="796">
                  <c:v>1.4639596489828595</c:v>
                </c:pt>
                <c:pt idx="797">
                  <c:v>1.4639096965772964</c:v>
                </c:pt>
                <c:pt idx="798">
                  <c:v>1.4638597455287012</c:v>
                </c:pt>
                <c:pt idx="799">
                  <c:v>1.463809795837042</c:v>
                </c:pt>
                <c:pt idx="800">
                  <c:v>1.4637598475023044</c:v>
                </c:pt>
                <c:pt idx="801">
                  <c:v>1.4637099005244512</c:v>
                </c:pt>
                <c:pt idx="802">
                  <c:v>1.4636599549034646</c:v>
                </c:pt>
                <c:pt idx="803">
                  <c:v>1.4636100106393126</c:v>
                </c:pt>
                <c:pt idx="804">
                  <c:v>1.4635600677319776</c:v>
                </c:pt>
                <c:pt idx="805">
                  <c:v>1.4635101261814238</c:v>
                </c:pt>
                <c:pt idx="806">
                  <c:v>1.4634601859876444</c:v>
                </c:pt>
                <c:pt idx="807">
                  <c:v>1.4634102471505877</c:v>
                </c:pt>
                <c:pt idx="808">
                  <c:v>1.4633603096702466</c:v>
                </c:pt>
                <c:pt idx="809">
                  <c:v>1.4633103735465873</c:v>
                </c:pt>
                <c:pt idx="810">
                  <c:v>1.4632604387795833</c:v>
                </c:pt>
                <c:pt idx="811">
                  <c:v>1.4632105053692133</c:v>
                </c:pt>
                <c:pt idx="812">
                  <c:v>1.4631605733154487</c:v>
                </c:pt>
                <c:pt idx="813">
                  <c:v>1.4631106426182701</c:v>
                </c:pt>
                <c:pt idx="814">
                  <c:v>1.4630607132776472</c:v>
                </c:pt>
                <c:pt idx="815">
                  <c:v>1.4630107852935534</c:v>
                </c:pt>
                <c:pt idx="816">
                  <c:v>1.4629608586659639</c:v>
                </c:pt>
                <c:pt idx="817">
                  <c:v>1.4629109333948502</c:v>
                </c:pt>
                <c:pt idx="818">
                  <c:v>1.4628610094801928</c:v>
                </c:pt>
                <c:pt idx="819">
                  <c:v>1.4628110869219633</c:v>
                </c:pt>
                <c:pt idx="820">
                  <c:v>1.4627611657201314</c:v>
                </c:pt>
                <c:pt idx="821">
                  <c:v>1.462711245874674</c:v>
                </c:pt>
                <c:pt idx="822">
                  <c:v>1.4626613273855718</c:v>
                </c:pt>
                <c:pt idx="823">
                  <c:v>1.4626114102527925</c:v>
                </c:pt>
                <c:pt idx="824">
                  <c:v>1.4625614944763132</c:v>
                </c:pt>
                <c:pt idx="825">
                  <c:v>1.462511580056109</c:v>
                </c:pt>
                <c:pt idx="826">
                  <c:v>1.4624616669921462</c:v>
                </c:pt>
                <c:pt idx="827">
                  <c:v>1.4624117552844105</c:v>
                </c:pt>
                <c:pt idx="828">
                  <c:v>1.4623618449328699</c:v>
                </c:pt>
                <c:pt idx="829">
                  <c:v>1.4623119359374943</c:v>
                </c:pt>
                <c:pt idx="830">
                  <c:v>1.4622620282982677</c:v>
                </c:pt>
                <c:pt idx="831">
                  <c:v>1.4622121220151687</c:v>
                </c:pt>
                <c:pt idx="832">
                  <c:v>1.462162217088153</c:v>
                </c:pt>
                <c:pt idx="833">
                  <c:v>1.4621123135172063</c:v>
                </c:pt>
                <c:pt idx="834">
                  <c:v>1.4620624113022949</c:v>
                </c:pt>
                <c:pt idx="835">
                  <c:v>1.4620125104434063</c:v>
                </c:pt>
                <c:pt idx="836">
                  <c:v>1.4619626109405122</c:v>
                </c:pt>
                <c:pt idx="837">
                  <c:v>1.4619127127935769</c:v>
                </c:pt>
                <c:pt idx="838">
                  <c:v>1.4618628160025811</c:v>
                </c:pt>
                <c:pt idx="839">
                  <c:v>1.4618129205675032</c:v>
                </c:pt>
                <c:pt idx="840">
                  <c:v>1.461763026488315</c:v>
                </c:pt>
                <c:pt idx="841">
                  <c:v>1.4617131337649845</c:v>
                </c:pt>
                <c:pt idx="842">
                  <c:v>1.4616632423974867</c:v>
                </c:pt>
                <c:pt idx="843">
                  <c:v>1.4616133523858039</c:v>
                </c:pt>
                <c:pt idx="844">
                  <c:v>1.4615634637299024</c:v>
                </c:pt>
                <c:pt idx="845">
                  <c:v>1.4615135764297644</c:v>
                </c:pt>
                <c:pt idx="846">
                  <c:v>1.4614636904853633</c:v>
                </c:pt>
                <c:pt idx="847">
                  <c:v>1.4614138058966635</c:v>
                </c:pt>
                <c:pt idx="848">
                  <c:v>1.4613639226636472</c:v>
                </c:pt>
                <c:pt idx="849">
                  <c:v>1.4613140407862897</c:v>
                </c:pt>
                <c:pt idx="850">
                  <c:v>1.4612641602645624</c:v>
                </c:pt>
                <c:pt idx="851">
                  <c:v>1.4612142810984388</c:v>
                </c:pt>
                <c:pt idx="852">
                  <c:v>1.461164403287901</c:v>
                </c:pt>
                <c:pt idx="853">
                  <c:v>1.4611145268329064</c:v>
                </c:pt>
                <c:pt idx="854">
                  <c:v>1.4610646517334445</c:v>
                </c:pt>
                <c:pt idx="855">
                  <c:v>1.4610147779894849</c:v>
                </c:pt>
                <c:pt idx="856">
                  <c:v>1.4609649056010028</c:v>
                </c:pt>
                <c:pt idx="857">
                  <c:v>1.4609150345679733</c:v>
                </c:pt>
                <c:pt idx="858">
                  <c:v>1.4608651648903646</c:v>
                </c:pt>
                <c:pt idx="859">
                  <c:v>1.4608152965681658</c:v>
                </c:pt>
                <c:pt idx="860">
                  <c:v>1.4607654296013326</c:v>
                </c:pt>
                <c:pt idx="861">
                  <c:v>1.4607155639898473</c:v>
                </c:pt>
                <c:pt idx="862">
                  <c:v>1.4606656997336884</c:v>
                </c:pt>
                <c:pt idx="863">
                  <c:v>1.4606158368328188</c:v>
                </c:pt>
                <c:pt idx="864">
                  <c:v>1.460565975287226</c:v>
                </c:pt>
                <c:pt idx="865">
                  <c:v>1.4605161150968851</c:v>
                </c:pt>
                <c:pt idx="866">
                  <c:v>1.4604662562617534</c:v>
                </c:pt>
                <c:pt idx="867">
                  <c:v>1.4604163987818204</c:v>
                </c:pt>
                <c:pt idx="868">
                  <c:v>1.4603665426570558</c:v>
                </c:pt>
                <c:pt idx="869">
                  <c:v>1.4603166878874365</c:v>
                </c:pt>
                <c:pt idx="870">
                  <c:v>1.4602668344729235</c:v>
                </c:pt>
                <c:pt idx="871">
                  <c:v>1.4602169824135061</c:v>
                </c:pt>
                <c:pt idx="872">
                  <c:v>1.4601671317091593</c:v>
                </c:pt>
                <c:pt idx="873">
                  <c:v>1.4601172823598461</c:v>
                </c:pt>
                <c:pt idx="874">
                  <c:v>1.4600674343655555</c:v>
                </c:pt>
                <c:pt idx="875">
                  <c:v>1.4600175877262451</c:v>
                </c:pt>
                <c:pt idx="876">
                  <c:v>1.459967742441906</c:v>
                </c:pt>
                <c:pt idx="877">
                  <c:v>1.4599178985124972</c:v>
                </c:pt>
                <c:pt idx="878">
                  <c:v>1.4598680559380046</c:v>
                </c:pt>
                <c:pt idx="879">
                  <c:v>1.4598182147183945</c:v>
                </c:pt>
                <c:pt idx="880">
                  <c:v>1.4597683748536436</c:v>
                </c:pt>
                <c:pt idx="881">
                  <c:v>1.4597185363437237</c:v>
                </c:pt>
                <c:pt idx="882">
                  <c:v>1.4596686991886152</c:v>
                </c:pt>
                <c:pt idx="883">
                  <c:v>1.4596188633882967</c:v>
                </c:pt>
                <c:pt idx="884">
                  <c:v>1.4595690289427292</c:v>
                </c:pt>
                <c:pt idx="885">
                  <c:v>1.4595191958518932</c:v>
                </c:pt>
                <c:pt idx="886">
                  <c:v>1.4594693641157637</c:v>
                </c:pt>
                <c:pt idx="887">
                  <c:v>1.4594195337343177</c:v>
                </c:pt>
                <c:pt idx="888">
                  <c:v>1.4593697047075178</c:v>
                </c:pt>
                <c:pt idx="889">
                  <c:v>1.4593198770353535</c:v>
                </c:pt>
                <c:pt idx="890">
                  <c:v>1.4592700507177909</c:v>
                </c:pt>
                <c:pt idx="891">
                  <c:v>1.4592202257548053</c:v>
                </c:pt>
                <c:pt idx="892">
                  <c:v>1.4591704021463698</c:v>
                </c:pt>
                <c:pt idx="893">
                  <c:v>1.4591205798924651</c:v>
                </c:pt>
                <c:pt idx="894">
                  <c:v>1.4590707589930467</c:v>
                </c:pt>
                <c:pt idx="895">
                  <c:v>1.4590209394481182</c:v>
                </c:pt>
                <c:pt idx="896">
                  <c:v>1.4589711212576351</c:v>
                </c:pt>
                <c:pt idx="897">
                  <c:v>1.4589213044215672</c:v>
                </c:pt>
                <c:pt idx="898">
                  <c:v>1.4588714889399022</c:v>
                </c:pt>
                <c:pt idx="899">
                  <c:v>1.4588216748126115</c:v>
                </c:pt>
                <c:pt idx="900">
                  <c:v>1.4587718620396579</c:v>
                </c:pt>
                <c:pt idx="901">
                  <c:v>1.4587220506210343</c:v>
                </c:pt>
                <c:pt idx="902">
                  <c:v>1.4586722405566999</c:v>
                </c:pt>
                <c:pt idx="903">
                  <c:v>1.4586224318466368</c:v>
                </c:pt>
                <c:pt idx="904">
                  <c:v>1.4585726244908184</c:v>
                </c:pt>
                <c:pt idx="905">
                  <c:v>1.4585228184892092</c:v>
                </c:pt>
                <c:pt idx="906">
                  <c:v>1.4584730138417967</c:v>
                </c:pt>
                <c:pt idx="907">
                  <c:v>1.4584232105485526</c:v>
                </c:pt>
                <c:pt idx="908">
                  <c:v>1.4583734086094449</c:v>
                </c:pt>
                <c:pt idx="909">
                  <c:v>1.4583236080244557</c:v>
                </c:pt>
                <c:pt idx="910">
                  <c:v>1.4582738087935514</c:v>
                </c:pt>
                <c:pt idx="911">
                  <c:v>1.4582240109167124</c:v>
                </c:pt>
                <c:pt idx="912">
                  <c:v>1.458174214393912</c:v>
                </c:pt>
                <c:pt idx="913">
                  <c:v>1.4581244192251219</c:v>
                </c:pt>
                <c:pt idx="914">
                  <c:v>1.4580746254103119</c:v>
                </c:pt>
                <c:pt idx="915">
                  <c:v>1.4580248329494694</c:v>
                </c:pt>
                <c:pt idx="916">
                  <c:v>1.457975041842559</c:v>
                </c:pt>
                <c:pt idx="917">
                  <c:v>1.4579252520895594</c:v>
                </c:pt>
                <c:pt idx="918">
                  <c:v>1.4578754636904439</c:v>
                </c:pt>
                <c:pt idx="919">
                  <c:v>1.4578256766451858</c:v>
                </c:pt>
                <c:pt idx="920">
                  <c:v>1.457775890953755</c:v>
                </c:pt>
                <c:pt idx="921">
                  <c:v>1.4577261066161338</c:v>
                </c:pt>
                <c:pt idx="922">
                  <c:v>1.4576763236322936</c:v>
                </c:pt>
                <c:pt idx="923">
                  <c:v>1.4576265420022079</c:v>
                </c:pt>
                <c:pt idx="924">
                  <c:v>1.4575767617258464</c:v>
                </c:pt>
                <c:pt idx="925">
                  <c:v>1.4575269828031949</c:v>
                </c:pt>
                <c:pt idx="926">
                  <c:v>1.4574772052342198</c:v>
                </c:pt>
                <c:pt idx="927">
                  <c:v>1.4574274290188924</c:v>
                </c:pt>
                <c:pt idx="928">
                  <c:v>1.4573776541571952</c:v>
                </c:pt>
                <c:pt idx="929">
                  <c:v>1.4573278806490944</c:v>
                </c:pt>
                <c:pt idx="930">
                  <c:v>1.4572781084945667</c:v>
                </c:pt>
                <c:pt idx="931">
                  <c:v>1.4572283376935964</c:v>
                </c:pt>
                <c:pt idx="932">
                  <c:v>1.4571785682461424</c:v>
                </c:pt>
                <c:pt idx="933">
                  <c:v>1.4571288001521818</c:v>
                </c:pt>
                <c:pt idx="934">
                  <c:v>1.4570790334117039</c:v>
                </c:pt>
                <c:pt idx="935">
                  <c:v>1.4570292680246695</c:v>
                </c:pt>
                <c:pt idx="936">
                  <c:v>1.4569795039910503</c:v>
                </c:pt>
                <c:pt idx="937">
                  <c:v>1.4569297413108231</c:v>
                </c:pt>
                <c:pt idx="938">
                  <c:v>1.4568799799839756</c:v>
                </c:pt>
                <c:pt idx="939">
                  <c:v>1.456830220010465</c:v>
                </c:pt>
                <c:pt idx="940">
                  <c:v>1.456780461390272</c:v>
                </c:pt>
                <c:pt idx="941">
                  <c:v>1.4567307041233732</c:v>
                </c:pt>
                <c:pt idx="942">
                  <c:v>1.4566809482097369</c:v>
                </c:pt>
                <c:pt idx="943">
                  <c:v>1.4566311936493435</c:v>
                </c:pt>
                <c:pt idx="944">
                  <c:v>1.4565814404421698</c:v>
                </c:pt>
                <c:pt idx="945">
                  <c:v>1.4565316885881696</c:v>
                </c:pt>
                <c:pt idx="946">
                  <c:v>1.4564819380873431</c:v>
                </c:pt>
                <c:pt idx="947">
                  <c:v>1.4564321889396545</c:v>
                </c:pt>
                <c:pt idx="948">
                  <c:v>1.4563824411450756</c:v>
                </c:pt>
                <c:pt idx="949">
                  <c:v>1.4563326947035851</c:v>
                </c:pt>
                <c:pt idx="950">
                  <c:v>1.4562829496151597</c:v>
                </c:pt>
                <c:pt idx="951">
                  <c:v>1.4562332058797569</c:v>
                </c:pt>
                <c:pt idx="952">
                  <c:v>1.4561834634973678</c:v>
                </c:pt>
                <c:pt idx="953">
                  <c:v>1.456133722467964</c:v>
                </c:pt>
                <c:pt idx="954">
                  <c:v>1.4560839827915171</c:v>
                </c:pt>
                <c:pt idx="955">
                  <c:v>1.4560342444680021</c:v>
                </c:pt>
                <c:pt idx="956">
                  <c:v>1.4559845074973889</c:v>
                </c:pt>
                <c:pt idx="957">
                  <c:v>1.4559347718796616</c:v>
                </c:pt>
                <c:pt idx="958">
                  <c:v>1.4558850376147845</c:v>
                </c:pt>
                <c:pt idx="959">
                  <c:v>1.4558353047027417</c:v>
                </c:pt>
                <c:pt idx="960">
                  <c:v>1.4557855731434959</c:v>
                </c:pt>
                <c:pt idx="961">
                  <c:v>1.4557358429370293</c:v>
                </c:pt>
                <c:pt idx="962">
                  <c:v>1.4556861140833206</c:v>
                </c:pt>
                <c:pt idx="963">
                  <c:v>1.4556363865823307</c:v>
                </c:pt>
                <c:pt idx="964">
                  <c:v>1.4555866604340437</c:v>
                </c:pt>
                <c:pt idx="965">
                  <c:v>1.4555369356384258</c:v>
                </c:pt>
                <c:pt idx="966">
                  <c:v>1.4554872121954645</c:v>
                </c:pt>
                <c:pt idx="967">
                  <c:v>1.4554374901051208</c:v>
                </c:pt>
                <c:pt idx="968">
                  <c:v>1.4553877693673787</c:v>
                </c:pt>
                <c:pt idx="969">
                  <c:v>1.4553380499822062</c:v>
                </c:pt>
                <c:pt idx="970">
                  <c:v>1.4552883319495802</c:v>
                </c:pt>
                <c:pt idx="971">
                  <c:v>1.4552386152694723</c:v>
                </c:pt>
                <c:pt idx="972">
                  <c:v>1.4551888999418576</c:v>
                </c:pt>
                <c:pt idx="973">
                  <c:v>1.4551391859667149</c:v>
                </c:pt>
                <c:pt idx="974">
                  <c:v>1.4550894733440192</c:v>
                </c:pt>
                <c:pt idx="975">
                  <c:v>1.4550397620737314</c:v>
                </c:pt>
                <c:pt idx="976">
                  <c:v>1.4549900521558428</c:v>
                </c:pt>
                <c:pt idx="977">
                  <c:v>1.4549403435903159</c:v>
                </c:pt>
                <c:pt idx="978">
                  <c:v>1.4548906363771312</c:v>
                </c:pt>
                <c:pt idx="979">
                  <c:v>1.4548409305162586</c:v>
                </c:pt>
                <c:pt idx="980">
                  <c:v>1.4547912260076785</c:v>
                </c:pt>
                <c:pt idx="981">
                  <c:v>1.4547415228513572</c:v>
                </c:pt>
                <c:pt idx="982">
                  <c:v>1.4546918210472768</c:v>
                </c:pt>
                <c:pt idx="983">
                  <c:v>1.4546421205954054</c:v>
                </c:pt>
                <c:pt idx="984">
                  <c:v>1.4545924214957182</c:v>
                </c:pt>
                <c:pt idx="985">
                  <c:v>1.4545427237481992</c:v>
                </c:pt>
                <c:pt idx="986">
                  <c:v>1.4544930273528074</c:v>
                </c:pt>
                <c:pt idx="987">
                  <c:v>1.4544433323095234</c:v>
                </c:pt>
                <c:pt idx="988">
                  <c:v>1.4543936386183205</c:v>
                </c:pt>
                <c:pt idx="989">
                  <c:v>1.4543439462791827</c:v>
                </c:pt>
                <c:pt idx="990">
                  <c:v>1.4542942552920746</c:v>
                </c:pt>
                <c:pt idx="991">
                  <c:v>1.4542445656569676</c:v>
                </c:pt>
                <c:pt idx="992">
                  <c:v>1.4541948773738422</c:v>
                </c:pt>
                <c:pt idx="993">
                  <c:v>1.4541451904426737</c:v>
                </c:pt>
                <c:pt idx="994">
                  <c:v>1.4540955048634316</c:v>
                </c:pt>
                <c:pt idx="995">
                  <c:v>1.4540458206360896</c:v>
                </c:pt>
                <c:pt idx="996">
                  <c:v>1.4539961377606296</c:v>
                </c:pt>
                <c:pt idx="997">
                  <c:v>1.4539464562370181</c:v>
                </c:pt>
                <c:pt idx="998">
                  <c:v>1.4538967760652284</c:v>
                </c:pt>
                <c:pt idx="999">
                  <c:v>1.4538470972452426</c:v>
                </c:pt>
                <c:pt idx="1000">
                  <c:v>1.453797419777036</c:v>
                </c:pt>
              </c:numCache>
            </c:numRef>
          </c:yVal>
          <c:smooth val="0"/>
          <c:extLst>
            <c:ext xmlns:c16="http://schemas.microsoft.com/office/drawing/2014/chart" uri="{C3380CC4-5D6E-409C-BE32-E72D297353CC}">
              <c16:uniqueId val="{00000000-BDD6-4E9B-9AFA-2396233049A9}"/>
            </c:ext>
          </c:extLst>
        </c:ser>
        <c:ser>
          <c:idx val="1"/>
          <c:order val="1"/>
          <c:tx>
            <c:strRef>
              <c:f>Courbes!$B$138</c:f>
              <c:strCache>
                <c:ptCount val="1"/>
                <c:pt idx="0">
                  <c:v>Charge vue par un capteur</c:v>
                </c:pt>
              </c:strCache>
            </c:strRef>
          </c:tx>
          <c:spPr>
            <a:ln w="25400">
              <a:solidFill>
                <a:srgbClr val="008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Calculs!$AH$4:$AH$1004</c:f>
              <c:numCache>
                <c:formatCode>0.00</c:formatCode>
                <c:ptCount val="1001"/>
                <c:pt idx="0">
                  <c:v>0</c:v>
                </c:pt>
                <c:pt idx="1">
                  <c:v>17.468902893945678</c:v>
                </c:pt>
                <c:pt idx="2">
                  <c:v>85.20021423032901</c:v>
                </c:pt>
                <c:pt idx="3">
                  <c:v>141.01381446564966</c:v>
                </c:pt>
                <c:pt idx="4">
                  <c:v>150.96447893639379</c:v>
                </c:pt>
                <c:pt idx="5">
                  <c:v>150.69996609403148</c:v>
                </c:pt>
                <c:pt idx="6">
                  <c:v>141.28456918934168</c:v>
                </c:pt>
                <c:pt idx="7">
                  <c:v>131.84002443698841</c:v>
                </c:pt>
                <c:pt idx="8">
                  <c:v>128.95816994230094</c:v>
                </c:pt>
                <c:pt idx="9">
                  <c:v>132.65640212604526</c:v>
                </c:pt>
                <c:pt idx="10">
                  <c:v>136.3524799920188</c:v>
                </c:pt>
                <c:pt idx="11">
                  <c:v>138.65176147360236</c:v>
                </c:pt>
                <c:pt idx="12">
                  <c:v>139.55031207342699</c:v>
                </c:pt>
                <c:pt idx="13">
                  <c:v>140.44069586221275</c:v>
                </c:pt>
                <c:pt idx="14">
                  <c:v>141.32271466145886</c:v>
                </c:pt>
                <c:pt idx="15">
                  <c:v>142.19617079850588</c:v>
                </c:pt>
                <c:pt idx="16">
                  <c:v>143.06086721830869</c:v>
                </c:pt>
                <c:pt idx="17">
                  <c:v>143.91660759648931</c:v>
                </c:pt>
                <c:pt idx="18">
                  <c:v>144.76319645358407</c:v>
                </c:pt>
                <c:pt idx="19">
                  <c:v>145.60043927039277</c:v>
                </c:pt>
                <c:pt idx="20">
                  <c:v>146.42814260433701</c:v>
                </c:pt>
                <c:pt idx="21">
                  <c:v>147.0242578381997</c:v>
                </c:pt>
                <c:pt idx="22">
                  <c:v>147.38820426243552</c:v>
                </c:pt>
                <c:pt idx="23">
                  <c:v>147.74168284271772</c:v>
                </c:pt>
                <c:pt idx="24">
                  <c:v>148.08460203653402</c:v>
                </c:pt>
                <c:pt idx="25">
                  <c:v>148.41687404358308</c:v>
                </c:pt>
                <c:pt idx="26">
                  <c:v>148.73841405542726</c:v>
                </c:pt>
                <c:pt idx="27">
                  <c:v>149.04914031601305</c:v>
                </c:pt>
                <c:pt idx="28">
                  <c:v>149.3489741805808</c:v>
                </c:pt>
                <c:pt idx="29">
                  <c:v>149.63784017289819</c:v>
                </c:pt>
                <c:pt idx="30">
                  <c:v>149.91566604074254</c:v>
                </c:pt>
                <c:pt idx="31">
                  <c:v>149.73499775012826</c:v>
                </c:pt>
                <c:pt idx="32">
                  <c:v>149.09531612422785</c:v>
                </c:pt>
                <c:pt idx="33">
                  <c:v>148.44438562471339</c:v>
                </c:pt>
                <c:pt idx="34">
                  <c:v>147.78236835402512</c:v>
                </c:pt>
                <c:pt idx="35">
                  <c:v>147.10942964415028</c:v>
                </c:pt>
                <c:pt idx="36">
                  <c:v>146.42573794571496</c:v>
                </c:pt>
                <c:pt idx="37">
                  <c:v>145.73146471541867</c:v>
                </c:pt>
                <c:pt idx="38">
                  <c:v>145.02678430193984</c:v>
                </c:pt>
                <c:pt idx="39">
                  <c:v>144.31187383044096</c:v>
                </c:pt>
                <c:pt idx="40">
                  <c:v>143.58691308580478</c:v>
                </c:pt>
                <c:pt idx="41">
                  <c:v>142.8520843947318</c:v>
                </c:pt>
                <c:pt idx="42">
                  <c:v>142.10757250683136</c:v>
                </c:pt>
                <c:pt idx="43">
                  <c:v>141.35356447483713</c:v>
                </c:pt>
                <c:pt idx="44">
                  <c:v>140.5902495340801</c:v>
                </c:pt>
                <c:pt idx="45">
                  <c:v>139.81781898134909</c:v>
                </c:pt>
                <c:pt idx="46">
                  <c:v>139.0364660532702</c:v>
                </c:pt>
                <c:pt idx="47">
                  <c:v>138.24638580433546</c:v>
                </c:pt>
                <c:pt idx="48">
                  <c:v>137.44777498470899</c:v>
                </c:pt>
                <c:pt idx="49">
                  <c:v>136.6408319179391</c:v>
                </c:pt>
                <c:pt idx="50">
                  <c:v>135.82575637870286</c:v>
                </c:pt>
                <c:pt idx="51">
                  <c:v>135.00274947070685</c:v>
                </c:pt>
                <c:pt idx="52">
                  <c:v>134.17201350486837</c:v>
                </c:pt>
                <c:pt idx="53">
                  <c:v>133.33375187789716</c:v>
                </c:pt>
                <c:pt idx="54">
                  <c:v>132.48816895139657</c:v>
                </c:pt>
                <c:pt idx="55">
                  <c:v>131.63546993160136</c:v>
                </c:pt>
                <c:pt idx="56">
                  <c:v>130.77586074986471</c:v>
                </c:pt>
                <c:pt idx="57">
                  <c:v>129.90954794400719</c:v>
                </c:pt>
                <c:pt idx="58">
                  <c:v>129.03673854063516</c:v>
                </c:pt>
                <c:pt idx="59">
                  <c:v>128.15763993853497</c:v>
                </c:pt>
                <c:pt idx="60">
                  <c:v>127.27245979324492</c:v>
                </c:pt>
                <c:pt idx="61">
                  <c:v>126.38140590290485</c:v>
                </c:pt>
                <c:pt idx="62">
                  <c:v>125.48468609547928</c:v>
                </c:pt>
                <c:pt idx="63">
                  <c:v>124.58250811744688</c:v>
                </c:pt>
                <c:pt idx="64">
                  <c:v>123.67507952404584</c:v>
                </c:pt>
                <c:pt idx="65">
                  <c:v>122.76260757116066</c:v>
                </c:pt>
                <c:pt idx="66">
                  <c:v>121.84529910893259</c:v>
                </c:pt>
                <c:pt idx="67">
                  <c:v>120.92336047717269</c:v>
                </c:pt>
                <c:pt idx="68">
                  <c:v>119.99699740265152</c:v>
                </c:pt>
                <c:pt idx="69">
                  <c:v>119.0664148983373</c:v>
                </c:pt>
                <c:pt idx="70">
                  <c:v>118.13181716464958</c:v>
                </c:pt>
                <c:pt idx="71">
                  <c:v>117.35639847646283</c:v>
                </c:pt>
                <c:pt idx="72">
                  <c:v>116.73996334047631</c:v>
                </c:pt>
                <c:pt idx="73">
                  <c:v>116.11903283973629</c:v>
                </c:pt>
                <c:pt idx="74">
                  <c:v>115.49374356074156</c:v>
                </c:pt>
                <c:pt idx="75">
                  <c:v>114.86423218133196</c:v>
                </c:pt>
                <c:pt idx="76">
                  <c:v>114.23063540810048</c:v>
                </c:pt>
                <c:pt idx="77">
                  <c:v>113.59308991455644</c:v>
                </c:pt>
                <c:pt idx="78">
                  <c:v>112.9517322800797</c:v>
                </c:pt>
                <c:pt idx="79">
                  <c:v>112.30669892970766</c:v>
                </c:pt>
                <c:pt idx="80">
                  <c:v>111.65812607479239</c:v>
                </c:pt>
                <c:pt idx="81">
                  <c:v>111.00614965456532</c:v>
                </c:pt>
                <c:pt idx="82">
                  <c:v>110.35090527864487</c:v>
                </c:pt>
                <c:pt idx="83">
                  <c:v>109.69252817052083</c:v>
                </c:pt>
                <c:pt idx="84">
                  <c:v>109.03115311204733</c:v>
                </c:pt>
                <c:pt idx="85">
                  <c:v>108.36691438897515</c:v>
                </c:pt>
                <c:pt idx="86">
                  <c:v>107.69994573755228</c:v>
                </c:pt>
                <c:pt idx="87">
                  <c:v>107.03038029221977</c:v>
                </c:pt>
                <c:pt idx="88">
                  <c:v>92.00464638463832</c:v>
                </c:pt>
                <c:pt idx="89">
                  <c:v>62.684642586094739</c:v>
                </c:pt>
                <c:pt idx="90">
                  <c:v>33.514639859327254</c:v>
                </c:pt>
                <c:pt idx="91">
                  <c:v>15.096981990735532</c:v>
                </c:pt>
                <c:pt idx="92">
                  <c:v>7.3777310834657532</c:v>
                </c:pt>
                <c:pt idx="93">
                  <c:v>-0.29493012871310542</c:v>
                </c:pt>
                <c:pt idx="94">
                  <c:v>-7.9203675849731328</c:v>
                </c:pt>
                <c:pt idx="95">
                  <c:v>-15.498068441593011</c:v>
                </c:pt>
                <c:pt idx="96">
                  <c:v>-23.027638297583874</c:v>
                </c:pt>
                <c:pt idx="97">
                  <c:v>-30.508798349473444</c:v>
                </c:pt>
                <c:pt idx="98">
                  <c:v>-34.09473314806376</c:v>
                </c:pt>
                <c:pt idx="99">
                  <c:v>-33.811359781033481</c:v>
                </c:pt>
                <c:pt idx="100">
                  <c:v>-33.531017184228944</c:v>
                </c:pt>
                <c:pt idx="101">
                  <c:v>-33.253662488284441</c:v>
                </c:pt>
                <c:pt idx="102">
                  <c:v>-32.979253582345784</c:v>
                </c:pt>
                <c:pt idx="103">
                  <c:v>-32.707749098002061</c:v>
                </c:pt>
                <c:pt idx="104">
                  <c:v>-32.439108393613544</c:v>
                </c:pt>
                <c:pt idx="105">
                  <c:v>-32.173291539024724</c:v>
                </c:pt>
                <c:pt idx="106">
                  <c:v>-31.910259300651578</c:v>
                </c:pt>
                <c:pt idx="107">
                  <c:v>-31.649973126932881</c:v>
                </c:pt>
                <c:pt idx="108">
                  <c:v>-31.392395134134869</c:v>
                </c:pt>
                <c:pt idx="109">
                  <c:v>-31.137488092500224</c:v>
                </c:pt>
                <c:pt idx="110">
                  <c:v>-30.885215412731171</c:v>
                </c:pt>
                <c:pt idx="111">
                  <c:v>-30.635541132798085</c:v>
                </c:pt>
                <c:pt idx="112">
                  <c:v>-30.388429905064019</c:v>
                </c:pt>
                <c:pt idx="113">
                  <c:v>-30.143846983717317</c:v>
                </c:pt>
                <c:pt idx="114">
                  <c:v>-29.901758212503108</c:v>
                </c:pt>
                <c:pt idx="115">
                  <c:v>-29.662130012746236</c:v>
                </c:pt>
                <c:pt idx="116">
                  <c:v>-29.424929371657306</c:v>
                </c:pt>
                <c:pt idx="117">
                  <c:v>-29.190123830914409</c:v>
                </c:pt>
                <c:pt idx="118">
                  <c:v>-28.957681475513034</c:v>
                </c:pt>
                <c:pt idx="119">
                  <c:v>-28.727570922877131</c:v>
                </c:pt>
                <c:pt idx="120">
                  <c:v>-28.499761312224091</c:v>
                </c:pt>
                <c:pt idx="121">
                  <c:v>-28.274222294177211</c:v>
                </c:pt>
                <c:pt idx="122">
                  <c:v>-28.050924020618751</c:v>
                </c:pt>
                <c:pt idx="123">
                  <c:v>-27.829837134777556</c:v>
                </c:pt>
                <c:pt idx="124">
                  <c:v>-27.610932761544738</c:v>
                </c:pt>
                <c:pt idx="125">
                  <c:v>-27.39418249801173</c:v>
                </c:pt>
                <c:pt idx="126">
                  <c:v>-27.179558404224682</c:v>
                </c:pt>
                <c:pt idx="127">
                  <c:v>-26.967032994149609</c:v>
                </c:pt>
                <c:pt idx="128">
                  <c:v>-26.756579226842991</c:v>
                </c:pt>
                <c:pt idx="129">
                  <c:v>-26.548170497822092</c:v>
                </c:pt>
                <c:pt idx="130">
                  <c:v>-26.341780630630328</c:v>
                </c:pt>
                <c:pt idx="131">
                  <c:v>-26.137383868592359</c:v>
                </c:pt>
                <c:pt idx="132">
                  <c:v>-25.934954866753991</c:v>
                </c:pt>
                <c:pt idx="133">
                  <c:v>-25.73446868400249</c:v>
                </c:pt>
                <c:pt idx="134">
                  <c:v>-25.535900775362364</c:v>
                </c:pt>
                <c:pt idx="135">
                  <c:v>-25.339226984462275</c:v>
                </c:pt>
                <c:pt idx="136">
                  <c:v>-25.144423536168894</c:v>
                </c:pt>
                <c:pt idx="137">
                  <c:v>-24.95146702938311</c:v>
                </c:pt>
                <c:pt idx="138">
                  <c:v>-24.760334429995112</c:v>
                </c:pt>
                <c:pt idx="139">
                  <c:v>-24.571003063993597</c:v>
                </c:pt>
                <c:pt idx="140">
                  <c:v>-24.383450610725927</c:v>
                </c:pt>
                <c:pt idx="141">
                  <c:v>-24.197655096305063</c:v>
                </c:pt>
                <c:pt idx="142">
                  <c:v>-24.013594887159833</c:v>
                </c:pt>
                <c:pt idx="143">
                  <c:v>-23.831248683724763</c:v>
                </c:pt>
                <c:pt idx="144">
                  <c:v>-23.650595514266357</c:v>
                </c:pt>
                <c:pt idx="145">
                  <c:v>-23.471614728842145</c:v>
                </c:pt>
                <c:pt idx="146">
                  <c:v>-23.294285993389416</c:v>
                </c:pt>
                <c:pt idx="147">
                  <c:v>-23.118589283940363</c:v>
                </c:pt>
                <c:pt idx="148">
                  <c:v>-22.944504880960736</c:v>
                </c:pt>
                <c:pt idx="149">
                  <c:v>-22.772013363808693</c:v>
                </c:pt>
                <c:pt idx="150">
                  <c:v>-22.601095605311286</c:v>
                </c:pt>
                <c:pt idx="151">
                  <c:v>-22.431732766455458</c:v>
                </c:pt>
                <c:pt idx="152">
                  <c:v>-22.263906291190946</c:v>
                </c:pt>
                <c:pt idx="153">
                  <c:v>-22.097597901342311</c:v>
                </c:pt>
                <c:pt idx="154">
                  <c:v>-21.932789591627593</c:v>
                </c:pt>
                <c:pt idx="155">
                  <c:v>-21.769463624780929</c:v>
                </c:pt>
                <c:pt idx="156">
                  <c:v>-21.607602526776709</c:v>
                </c:pt>
                <c:pt idx="157">
                  <c:v>-21.447189082152857</c:v>
                </c:pt>
                <c:pt idx="158">
                  <c:v>-21.288206329430892</c:v>
                </c:pt>
                <c:pt idx="159">
                  <c:v>-21.130637556630511</c:v>
                </c:pt>
                <c:pt idx="160">
                  <c:v>-20.974466296876393</c:v>
                </c:pt>
                <c:pt idx="161">
                  <c:v>-20.819676324095166</c:v>
                </c:pt>
                <c:pt idx="162">
                  <c:v>-20.666251648800259</c:v>
                </c:pt>
                <c:pt idx="163">
                  <c:v>-20.514176513962905</c:v>
                </c:pt>
                <c:pt idx="164">
                  <c:v>-20.363435390966846</c:v>
                </c:pt>
                <c:pt idx="165">
                  <c:v>-20.214012975645247</c:v>
                </c:pt>
                <c:pt idx="166">
                  <c:v>-20.065894184397543</c:v>
                </c:pt>
                <c:pt idx="167">
                  <c:v>-19.919064150384724</c:v>
                </c:pt>
                <c:pt idx="168">
                  <c:v>-19.773508219800906</c:v>
                </c:pt>
                <c:pt idx="169">
                  <c:v>-19.62921194821973</c:v>
                </c:pt>
                <c:pt idx="170">
                  <c:v>-19.486161097013703</c:v>
                </c:pt>
                <c:pt idx="171">
                  <c:v>-19.344341629844909</c:v>
                </c:pt>
                <c:pt idx="172">
                  <c:v>-19.20373970922536</c:v>
                </c:pt>
                <c:pt idx="173">
                  <c:v>-19.064341693145636</c:v>
                </c:pt>
                <c:pt idx="174">
                  <c:v>-18.926134131769945</c:v>
                </c:pt>
                <c:pt idx="175">
                  <c:v>-18.789103764196394</c:v>
                </c:pt>
                <c:pt idx="176">
                  <c:v>-18.653237515280846</c:v>
                </c:pt>
                <c:pt idx="177">
                  <c:v>-18.518522492523037</c:v>
                </c:pt>
                <c:pt idx="178">
                  <c:v>-18.384945983013431</c:v>
                </c:pt>
                <c:pt idx="179">
                  <c:v>-18.252495450439604</c:v>
                </c:pt>
                <c:pt idx="180">
                  <c:v>-18.121158532150744</c:v>
                </c:pt>
                <c:pt idx="181">
                  <c:v>-17.990923036279003</c:v>
                </c:pt>
                <c:pt idx="182">
                  <c:v>-17.861776938916496</c:v>
                </c:pt>
                <c:pt idx="183">
                  <c:v>-17.73370838134657</c:v>
                </c:pt>
                <c:pt idx="184">
                  <c:v>-17.606705667328402</c:v>
                </c:pt>
                <c:pt idx="185">
                  <c:v>-17.4807572604334</c:v>
                </c:pt>
                <c:pt idx="186">
                  <c:v>-17.355851781432779</c:v>
                </c:pt>
                <c:pt idx="187">
                  <c:v>-17.231978005734589</c:v>
                </c:pt>
                <c:pt idx="188">
                  <c:v>-17.109124860869645</c:v>
                </c:pt>
                <c:pt idx="189">
                  <c:v>-16.98728142402501</c:v>
                </c:pt>
                <c:pt idx="190">
                  <c:v>-16.866436919624121</c:v>
                </c:pt>
                <c:pt idx="191">
                  <c:v>-16.746580716952469</c:v>
                </c:pt>
                <c:pt idx="192">
                  <c:v>-16.627702327827894</c:v>
                </c:pt>
                <c:pt idx="193">
                  <c:v>-16.509791404314623</c:v>
                </c:pt>
                <c:pt idx="194">
                  <c:v>-16.39283773647994</c:v>
                </c:pt>
                <c:pt idx="195">
                  <c:v>-16.276831250192743</c:v>
                </c:pt>
                <c:pt idx="196">
                  <c:v>-16.161762004962988</c:v>
                </c:pt>
                <c:pt idx="197">
                  <c:v>-16.047620191821238</c:v>
                </c:pt>
                <c:pt idx="198">
                  <c:v>-15.93439613123733</c:v>
                </c:pt>
                <c:pt idx="199">
                  <c:v>-15.822080271077605</c:v>
                </c:pt>
                <c:pt idx="200">
                  <c:v>-15.710663184599536</c:v>
                </c:pt>
                <c:pt idx="201">
                  <c:v>-15.600135568483203</c:v>
                </c:pt>
                <c:pt idx="202">
                  <c:v>-14.521684793313558</c:v>
                </c:pt>
                <c:pt idx="203">
                  <c:v>-13.526483766796488</c:v>
                </c:pt>
                <c:pt idx="204">
                  <c:v>-12.606388243431963</c:v>
                </c:pt>
                <c:pt idx="205">
                  <c:v>-11.754242865709305</c:v>
                </c:pt>
                <c:pt idx="206">
                  <c:v>-10.963740273021644</c:v>
                </c:pt>
                <c:pt idx="207">
                  <c:v>-10.229303189297285</c:v>
                </c:pt>
                <c:pt idx="208">
                  <c:v>-9.5459852926086644</c:v>
                </c:pt>
                <c:pt idx="209">
                  <c:v>-8.9093875152114066</c:v>
                </c:pt>
                <c:pt idx="210">
                  <c:v>-8.3155870822828994</c:v>
                </c:pt>
                <c:pt idx="211">
                  <c:v>-7.7610771159155636</c:v>
                </c:pt>
                <c:pt idx="212">
                  <c:v>-7.242715040428112</c:v>
                </c:pt>
                <c:pt idx="213">
                  <c:v>-6.7576783504286917</c:v>
                </c:pt>
                <c:pt idx="214">
                  <c:v>-6.3034265629628274</c:v>
                </c:pt>
                <c:pt idx="215">
                  <c:v>-5.8776683837371637</c:v>
                </c:pt>
                <c:pt idx="216">
                  <c:v>-5.4783332857436218</c:v>
                </c:pt>
                <c:pt idx="217">
                  <c:v>-5.1035468350417128</c:v>
                </c:pt>
                <c:pt idx="218">
                  <c:v>-4.7516092095262961</c:v>
                </c:pt>
                <c:pt idx="219">
                  <c:v>-4.4209764473145716</c:v>
                </c:pt>
                <c:pt idx="220">
                  <c:v>-4.1102440359288765</c:v>
                </c:pt>
                <c:pt idx="221">
                  <c:v>-3.8181325148835938</c:v>
                </c:pt>
                <c:pt idx="222">
                  <c:v>-3.5434748151010727</c:v>
                </c:pt>
                <c:pt idx="223">
                  <c:v>-3.2852051007683207</c:v>
                </c:pt>
                <c:pt idx="224">
                  <c:v>-3.0423489143898661</c:v>
                </c:pt>
                <c:pt idx="225">
                  <c:v>-2.8140144551644544</c:v>
                </c:pt>
                <c:pt idx="226">
                  <c:v>-2.599384845439225</c:v>
                </c:pt>
                <c:pt idx="227">
                  <c:v>-2.3977112607024367</c:v>
                </c:pt>
                <c:pt idx="228">
                  <c:v>-2.2083068160363806</c:v>
                </c:pt>
                <c:pt idx="229">
                  <c:v>-2.0305411167117215</c:v>
                </c:pt>
                <c:pt idx="230">
                  <c:v>-1.8638353931081357</c:v>
                </c:pt>
                <c:pt idx="231">
                  <c:v>-1.7076581507570674</c:v>
                </c:pt>
                <c:pt idx="232">
                  <c:v>-1.5615212753166301</c:v>
                </c:pt>
                <c:pt idx="233">
                  <c:v>-1.4249765399474921</c:v>
                </c:pt>
                <c:pt idx="234">
                  <c:v>-1.2976124690564883</c:v>
                </c:pt>
                <c:pt idx="235">
                  <c:v>-1.1790515178670937</c:v>
                </c:pt>
                <c:pt idx="236">
                  <c:v>-1.0689475318831672</c:v>
                </c:pt>
                <c:pt idx="237">
                  <c:v>-0.966983454123306</c:v>
                </c:pt>
                <c:pt idx="238">
                  <c:v>-0.8728692510764452</c:v>
                </c:pt>
                <c:pt idx="239">
                  <c:v>-0.78634003069399128</c:v>
                </c:pt>
                <c:pt idx="240">
                  <c:v>-0.70715432738859296</c:v>
                </c:pt>
                <c:pt idx="241">
                  <c:v>-0.6350925299237693</c:v>
                </c:pt>
                <c:pt idx="242">
                  <c:v>-0.56995542819394729</c:v>
                </c:pt>
                <c:pt idx="243">
                  <c:v>-0.5115628541369508</c:v>
                </c:pt>
                <c:pt idx="244">
                  <c:v>-0.45975239032681525</c:v>
                </c:pt>
                <c:pt idx="245">
                  <c:v>-0.41437811716803447</c:v>
                </c:pt>
                <c:pt idx="246">
                  <c:v>-0.37530936623099465</c:v>
                </c:pt>
                <c:pt idx="247">
                  <c:v>-0.34242944365866179</c:v>
                </c:pt>
                <c:pt idx="248">
                  <c:v>-0.31563428484576822</c:v>
                </c:pt>
                <c:pt idx="249">
                  <c:v>-0.29483100165444664</c:v>
                </c:pt>
                <c:pt idx="250">
                  <c:v>-0.27993628898206746</c:v>
                </c:pt>
                <c:pt idx="251">
                  <c:v>-0.27087467141018734</c:v>
                </c:pt>
                <c:pt idx="252">
                  <c:v>-0.26757659446219989</c:v>
                </c:pt>
                <c:pt idx="253">
                  <c:v>-0.26997639670805573</c:v>
                </c:pt>
                <c:pt idx="254">
                  <c:v>-0.27801023174161565</c:v>
                </c:pt>
                <c:pt idx="255">
                  <c:v>-0.2916140326696246</c:v>
                </c:pt>
                <c:pt idx="256">
                  <c:v>-0.31072161729519876</c:v>
                </c:pt>
                <c:pt idx="257">
                  <c:v>-0.33526301739868453</c:v>
                </c:pt>
                <c:pt idx="258">
                  <c:v>-0.3651630862862662</c:v>
                </c:pt>
                <c:pt idx="259">
                  <c:v>-0.40034040542638838</c:v>
                </c:pt>
                <c:pt idx="260">
                  <c:v>-0.44070648269954943</c:v>
                </c:pt>
                <c:pt idx="261">
                  <c:v>-0.48616521613585645</c:v>
                </c:pt>
                <c:pt idx="262">
                  <c:v>-0.5366125880670003</c:v>
                </c:pt>
                <c:pt idx="263">
                  <c:v>-0.59193655291639069</c:v>
                </c:pt>
                <c:pt idx="264">
                  <c:v>-0.65201708441787798</c:v>
                </c:pt>
                <c:pt idx="265">
                  <c:v>-0.71672635250394923</c:v>
                </c:pt>
                <c:pt idx="266">
                  <c:v>-0.78592900492695694</c:v>
                </c:pt>
                <c:pt idx="267">
                  <c:v>-0.85948253309378608</c:v>
                </c:pt>
                <c:pt idx="268">
                  <c:v>-0.93723770530733286</c:v>
                </c:pt>
                <c:pt idx="269">
                  <c:v>-1.0190390535825553</c:v>
                </c:pt>
                <c:pt idx="270">
                  <c:v>-1.1047254025251414</c:v>
                </c:pt>
                <c:pt idx="271">
                  <c:v>-1.1941304305498128</c:v>
                </c:pt>
                <c:pt idx="272">
                  <c:v>-1.2870832550944507</c:v>
                </c:pt>
                <c:pt idx="273">
                  <c:v>-1.3834090345599392</c:v>
                </c:pt>
                <c:pt idx="274">
                  <c:v>-1.4829295805571043</c:v>
                </c:pt>
                <c:pt idx="275">
                  <c:v>-1.5854639747349453</c:v>
                </c:pt>
                <c:pt idx="276">
                  <c:v>-1.6908291850456576</c:v>
                </c:pt>
                <c:pt idx="277">
                  <c:v>-1.7988406768056771</c:v>
                </c:pt>
                <c:pt idx="278">
                  <c:v>-1.9093130143624222</c:v>
                </c:pt>
                <c:pt idx="279">
                  <c:v>-2.0220604495902625</c:v>
                </c:pt>
                <c:pt idx="280">
                  <c:v>-2.1368974938277052</c:v>
                </c:pt>
                <c:pt idx="281">
                  <c:v>-2.2536394702382956</c:v>
                </c:pt>
                <c:pt idx="282">
                  <c:v>-2.3721030439346191</c:v>
                </c:pt>
                <c:pt idx="283">
                  <c:v>-2.4921067275504796</c:v>
                </c:pt>
                <c:pt idx="284">
                  <c:v>-2.6134713602817992</c:v>
                </c:pt>
                <c:pt idx="285">
                  <c:v>-2.736020558742053</c:v>
                </c:pt>
                <c:pt idx="286">
                  <c:v>-2.8595811382924397</c:v>
                </c:pt>
                <c:pt idx="287">
                  <c:v>-2.9839835038095783</c:v>
                </c:pt>
                <c:pt idx="288">
                  <c:v>-3.1090620091429311</c:v>
                </c:pt>
                <c:pt idx="289">
                  <c:v>-3.2346552847893979</c:v>
                </c:pt>
                <c:pt idx="290">
                  <c:v>-3.360606533572096</c:v>
                </c:pt>
                <c:pt idx="291">
                  <c:v>-3.486763794353319</c:v>
                </c:pt>
                <c:pt idx="292">
                  <c:v>-3.6129801740370335</c:v>
                </c:pt>
                <c:pt idx="293">
                  <c:v>-3.7391140483233327</c:v>
                </c:pt>
                <c:pt idx="294">
                  <c:v>-3.8650292318653925</c:v>
                </c:pt>
                <c:pt idx="295">
                  <c:v>-3.9905951186483879</c:v>
                </c:pt>
                <c:pt idx="296">
                  <c:v>-4.1156867935595454</c:v>
                </c:pt>
                <c:pt idx="297">
                  <c:v>-4.2401851162488349</c:v>
                </c:pt>
                <c:pt idx="298">
                  <c:v>-4.3639767784914012</c:v>
                </c:pt>
                <c:pt idx="299">
                  <c:v>-4.4869543363559261</c:v>
                </c:pt>
                <c:pt idx="300">
                  <c:v>-4.6090162185583852</c:v>
                </c:pt>
                <c:pt idx="301">
                  <c:v>-4.7300667124390348</c:v>
                </c:pt>
                <c:pt idx="302">
                  <c:v>-4.8500159290426614</c:v>
                </c:pt>
                <c:pt idx="303">
                  <c:v>-4.9687797488091592</c:v>
                </c:pt>
                <c:pt idx="304">
                  <c:v>-5.086279749394679</c:v>
                </c:pt>
                <c:pt idx="305">
                  <c:v>-5.2024431171435763</c:v>
                </c:pt>
                <c:pt idx="306">
                  <c:v>-5.3172025437198931</c:v>
                </c:pt>
                <c:pt idx="307">
                  <c:v>-5.4304961093847552</c:v>
                </c:pt>
                <c:pt idx="308">
                  <c:v>-5.5422671543745796</c:v>
                </c:pt>
                <c:pt idx="309">
                  <c:v>-5.6524641397948896</c:v>
                </c:pt>
                <c:pt idx="310">
                  <c:v>-5.7610404993977786</c:v>
                </c:pt>
                <c:pt idx="311">
                  <c:v>-5.8679544835577238</c:v>
                </c:pt>
                <c:pt idx="312">
                  <c:v>-5.9731689967026469</c:v>
                </c:pt>
                <c:pt idx="313">
                  <c:v>-6.0766514293949543</c:v>
                </c:pt>
                <c:pt idx="314">
                  <c:v>-6.178373486192184</c:v>
                </c:pt>
                <c:pt idx="315">
                  <c:v>-6.2783110103496771</c:v>
                </c:pt>
                <c:pt idx="316">
                  <c:v>-6.3764438063587772</c:v>
                </c:pt>
                <c:pt idx="317">
                  <c:v>-6.4727554612448222</c:v>
                </c:pt>
                <c:pt idx="318">
                  <c:v>-6.567233165479629</c:v>
                </c:pt>
                <c:pt idx="319">
                  <c:v>-6.6598675342942633</c:v>
                </c:pt>
                <c:pt idx="320">
                  <c:v>-6.7506524301100166</c:v>
                </c:pt>
                <c:pt idx="321">
                  <c:v>-6.8395847867392261</c:v>
                </c:pt>
                <c:pt idx="322">
                  <c:v>-6.9266644359430032</c:v>
                </c:pt>
                <c:pt idx="323">
                  <c:v>-7.011893936870675</c:v>
                </c:pt>
                <c:pt idx="324">
                  <c:v>-7.0952784088460739</c:v>
                </c:pt>
                <c:pt idx="325">
                  <c:v>-7.176825367908525</c:v>
                </c:pt>
                <c:pt idx="326">
                  <c:v>-7.2565445674622495</c:v>
                </c:pt>
                <c:pt idx="327">
                  <c:v>-7.3344478433366103</c:v>
                </c:pt>
                <c:pt idx="328">
                  <c:v>-7.4105489635112551</c:v>
                </c:pt>
                <c:pt idx="329">
                  <c:v>-7.4848634827152845</c:v>
                </c:pt>
                <c:pt idx="330">
                  <c:v>-7.5574086020672668</c:v>
                </c:pt>
                <c:pt idx="331">
                  <c:v>-7.6282030338841462</c:v>
                </c:pt>
                <c:pt idx="332">
                  <c:v>-7.6972668717510588</c:v>
                </c:pt>
                <c:pt idx="333">
                  <c:v>-7.7646214659110875</c:v>
                </c:pt>
                <c:pt idx="334">
                  <c:v>-7.8302893040039434</c:v>
                </c:pt>
                <c:pt idx="335">
                  <c:v>-7.8942938971552836</c:v>
                </c:pt>
                <c:pt idx="336">
                  <c:v>-7.9566596713937123</c:v>
                </c:pt>
                <c:pt idx="337">
                  <c:v>-8.0174118643504872</c:v>
                </c:pt>
                <c:pt idx="338">
                  <c:v>-8.0765764271773648</c:v>
                </c:pt>
                <c:pt idx="339">
                  <c:v>-8.1341799316006114</c:v>
                </c:pt>
                <c:pt idx="340">
                  <c:v>-8.1902494820142167</c:v>
                </c:pt>
                <c:pt idx="341">
                  <c:v>-8.2448126325021054</c:v>
                </c:pt>
                <c:pt idx="342">
                  <c:v>-8.2978973086679453</c:v>
                </c:pt>
                <c:pt idx="343">
                  <c:v>-8.2979488288541141</c:v>
                </c:pt>
                <c:pt idx="344">
                  <c:v>-8.2980003476334652</c:v>
                </c:pt>
                <c:pt idx="345">
                  <c:v>-8.2980518650060286</c:v>
                </c:pt>
                <c:pt idx="346">
                  <c:v>-8.2981033809718241</c:v>
                </c:pt>
                <c:pt idx="347">
                  <c:v>-8.2981548955308835</c:v>
                </c:pt>
                <c:pt idx="348">
                  <c:v>-8.298206408683237</c:v>
                </c:pt>
                <c:pt idx="349">
                  <c:v>-8.2982579204289113</c:v>
                </c:pt>
                <c:pt idx="350">
                  <c:v>-8.2983094307679224</c:v>
                </c:pt>
                <c:pt idx="351">
                  <c:v>-8.2983609397003111</c:v>
                </c:pt>
                <c:pt idx="352">
                  <c:v>-8.298412447226104</c:v>
                </c:pt>
                <c:pt idx="353">
                  <c:v>-8.2984639533453226</c:v>
                </c:pt>
                <c:pt idx="354">
                  <c:v>-8.2985154580579934</c:v>
                </c:pt>
                <c:pt idx="355">
                  <c:v>-8.2985669613641484</c:v>
                </c:pt>
                <c:pt idx="356">
                  <c:v>-8.2986184632638125</c:v>
                </c:pt>
                <c:pt idx="357">
                  <c:v>-8.2986699637570105</c:v>
                </c:pt>
                <c:pt idx="358">
                  <c:v>-8.2987214628437762</c:v>
                </c:pt>
                <c:pt idx="359">
                  <c:v>-8.2987729605241274</c:v>
                </c:pt>
                <c:pt idx="360">
                  <c:v>-8.2988244567981049</c:v>
                </c:pt>
                <c:pt idx="361">
                  <c:v>-8.2988759516657211</c:v>
                </c:pt>
                <c:pt idx="362">
                  <c:v>-8.2989274451270134</c:v>
                </c:pt>
                <c:pt idx="363">
                  <c:v>-8.2989789371820049</c:v>
                </c:pt>
                <c:pt idx="364">
                  <c:v>-8.2990304278307274</c:v>
                </c:pt>
                <c:pt idx="365">
                  <c:v>-8.2990819170732024</c:v>
                </c:pt>
                <c:pt idx="366">
                  <c:v>-8.2991334049094601</c:v>
                </c:pt>
                <c:pt idx="367">
                  <c:v>-8.299184891339527</c:v>
                </c:pt>
                <c:pt idx="368">
                  <c:v>-8.2992363763634334</c:v>
                </c:pt>
                <c:pt idx="369">
                  <c:v>-8.2992878599812023</c:v>
                </c:pt>
                <c:pt idx="370">
                  <c:v>-8.2993393421928623</c:v>
                </c:pt>
                <c:pt idx="371">
                  <c:v>-8.2993908229984381</c:v>
                </c:pt>
                <c:pt idx="372">
                  <c:v>-8.2994423023979618</c:v>
                </c:pt>
                <c:pt idx="373">
                  <c:v>-8.2994937803914635</c:v>
                </c:pt>
                <c:pt idx="374">
                  <c:v>-8.2995452569789574</c:v>
                </c:pt>
                <c:pt idx="375">
                  <c:v>-8.299596732160488</c:v>
                </c:pt>
                <c:pt idx="376">
                  <c:v>-8.2996482059360677</c:v>
                </c:pt>
                <c:pt idx="377">
                  <c:v>-8.2996996783057337</c:v>
                </c:pt>
                <c:pt idx="378">
                  <c:v>-8.2997511492695129</c:v>
                </c:pt>
                <c:pt idx="379">
                  <c:v>-8.2998026188274245</c:v>
                </c:pt>
                <c:pt idx="380">
                  <c:v>-8.299854086979499</c:v>
                </c:pt>
                <c:pt idx="381">
                  <c:v>-8.2999055537257682</c:v>
                </c:pt>
                <c:pt idx="382">
                  <c:v>-8.2999570190662535</c:v>
                </c:pt>
                <c:pt idx="383">
                  <c:v>-8.3000084830009886</c:v>
                </c:pt>
                <c:pt idx="384">
                  <c:v>-8.300059945529993</c:v>
                </c:pt>
                <c:pt idx="385">
                  <c:v>-8.3001114066533024</c:v>
                </c:pt>
                <c:pt idx="386">
                  <c:v>-8.3001628663709344</c:v>
                </c:pt>
                <c:pt idx="387">
                  <c:v>-8.3002143246829316</c:v>
                </c:pt>
                <c:pt idx="388">
                  <c:v>-8.3002657815893048</c:v>
                </c:pt>
                <c:pt idx="389">
                  <c:v>-8.3003172370900895</c:v>
                </c:pt>
                <c:pt idx="390">
                  <c:v>-8.3003686911853123</c:v>
                </c:pt>
                <c:pt idx="391">
                  <c:v>-8.3004201438750016</c:v>
                </c:pt>
                <c:pt idx="392">
                  <c:v>-8.300471595159177</c:v>
                </c:pt>
                <c:pt idx="393">
                  <c:v>-8.3005230450378793</c:v>
                </c:pt>
                <c:pt idx="394">
                  <c:v>-8.3005744935111245</c:v>
                </c:pt>
                <c:pt idx="395">
                  <c:v>-8.3006259405789411</c:v>
                </c:pt>
                <c:pt idx="396">
                  <c:v>-8.3006773862413628</c:v>
                </c:pt>
                <c:pt idx="397">
                  <c:v>-8.3007288304984126</c:v>
                </c:pt>
                <c:pt idx="398">
                  <c:v>-8.3007802733501208</c:v>
                </c:pt>
                <c:pt idx="399">
                  <c:v>-8.3008317147965087</c:v>
                </c:pt>
                <c:pt idx="400">
                  <c:v>-8.3008831548376083</c:v>
                </c:pt>
                <c:pt idx="401">
                  <c:v>-8.3009345934734426</c:v>
                </c:pt>
                <c:pt idx="402">
                  <c:v>-8.3009860307040437</c:v>
                </c:pt>
                <c:pt idx="403">
                  <c:v>-8.3010374665294382</c:v>
                </c:pt>
                <c:pt idx="404">
                  <c:v>-8.3010889009496545</c:v>
                </c:pt>
                <c:pt idx="405">
                  <c:v>-8.3011403339647138</c:v>
                </c:pt>
                <c:pt idx="406">
                  <c:v>-8.3011917655746501</c:v>
                </c:pt>
                <c:pt idx="407">
                  <c:v>-8.3012431957794881</c:v>
                </c:pt>
                <c:pt idx="408">
                  <c:v>-8.3012946245792509</c:v>
                </c:pt>
                <c:pt idx="409">
                  <c:v>-8.3013460519739759</c:v>
                </c:pt>
                <c:pt idx="410">
                  <c:v>-8.3013974779636808</c:v>
                </c:pt>
                <c:pt idx="411">
                  <c:v>-8.3014489025483957</c:v>
                </c:pt>
                <c:pt idx="412">
                  <c:v>-8.3015003257281474</c:v>
                </c:pt>
                <c:pt idx="413">
                  <c:v>-8.3015517475029696</c:v>
                </c:pt>
                <c:pt idx="414">
                  <c:v>-8.3016031678728837</c:v>
                </c:pt>
                <c:pt idx="415">
                  <c:v>-8.3016545868379144</c:v>
                </c:pt>
                <c:pt idx="416">
                  <c:v>-8.3017060043980937</c:v>
                </c:pt>
                <c:pt idx="417">
                  <c:v>-8.3017574205534466</c:v>
                </c:pt>
                <c:pt idx="418">
                  <c:v>-8.3018088353040067</c:v>
                </c:pt>
                <c:pt idx="419">
                  <c:v>-8.3018602486497919</c:v>
                </c:pt>
                <c:pt idx="420">
                  <c:v>-8.3019116605908376</c:v>
                </c:pt>
                <c:pt idx="421">
                  <c:v>-8.3019630711271599</c:v>
                </c:pt>
                <c:pt idx="422">
                  <c:v>-8.3020144802587978</c:v>
                </c:pt>
                <c:pt idx="423">
                  <c:v>-8.3020658879857745</c:v>
                </c:pt>
                <c:pt idx="424">
                  <c:v>-8.302117294308113</c:v>
                </c:pt>
                <c:pt idx="425">
                  <c:v>-8.302168699225847</c:v>
                </c:pt>
                <c:pt idx="426">
                  <c:v>-8.3022201027390068</c:v>
                </c:pt>
                <c:pt idx="427">
                  <c:v>-8.3022715048476066</c:v>
                </c:pt>
                <c:pt idx="428">
                  <c:v>-8.3023229055516836</c:v>
                </c:pt>
                <c:pt idx="429">
                  <c:v>-8.3023743048512646</c:v>
                </c:pt>
                <c:pt idx="430">
                  <c:v>-8.3024257027463726</c:v>
                </c:pt>
                <c:pt idx="431">
                  <c:v>-8.3024770992370378</c:v>
                </c:pt>
                <c:pt idx="432">
                  <c:v>-8.3025284943232922</c:v>
                </c:pt>
                <c:pt idx="433">
                  <c:v>-8.3025798880051536</c:v>
                </c:pt>
                <c:pt idx="434">
                  <c:v>-8.3026312802826556</c:v>
                </c:pt>
                <c:pt idx="435">
                  <c:v>-8.3026826711558215</c:v>
                </c:pt>
                <c:pt idx="436">
                  <c:v>-8.3027340606246813</c:v>
                </c:pt>
                <c:pt idx="437">
                  <c:v>-8.3027854486892636</c:v>
                </c:pt>
                <c:pt idx="438">
                  <c:v>-8.3028368353495932</c:v>
                </c:pt>
                <c:pt idx="439">
                  <c:v>-8.3028882206056984</c:v>
                </c:pt>
                <c:pt idx="440">
                  <c:v>-8.3029396044576078</c:v>
                </c:pt>
                <c:pt idx="441">
                  <c:v>-8.3029909869053444</c:v>
                </c:pt>
                <c:pt idx="442">
                  <c:v>-8.3030423679489385</c:v>
                </c:pt>
                <c:pt idx="443">
                  <c:v>-8.3030937475884183</c:v>
                </c:pt>
                <c:pt idx="444">
                  <c:v>-8.3031451258238107</c:v>
                </c:pt>
                <c:pt idx="445">
                  <c:v>-8.3031965026551386</c:v>
                </c:pt>
                <c:pt idx="446">
                  <c:v>-8.3032478780824412</c:v>
                </c:pt>
                <c:pt idx="447">
                  <c:v>-8.3032992521057309</c:v>
                </c:pt>
                <c:pt idx="448">
                  <c:v>-8.3033506247250433</c:v>
                </c:pt>
                <c:pt idx="449">
                  <c:v>-8.3034019959404066</c:v>
                </c:pt>
                <c:pt idx="450">
                  <c:v>-8.3034533657518406</c:v>
                </c:pt>
                <c:pt idx="451">
                  <c:v>-8.3035047341593824</c:v>
                </c:pt>
                <c:pt idx="452">
                  <c:v>-8.3035561011630517</c:v>
                </c:pt>
                <c:pt idx="453">
                  <c:v>-8.3036074667628803</c:v>
                </c:pt>
                <c:pt idx="454">
                  <c:v>-8.3036588309588915</c:v>
                </c:pt>
                <c:pt idx="455">
                  <c:v>-8.3037101937511189</c:v>
                </c:pt>
                <c:pt idx="456">
                  <c:v>-8.303761555139582</c:v>
                </c:pt>
                <c:pt idx="457">
                  <c:v>-8.3038129151243147</c:v>
                </c:pt>
                <c:pt idx="458">
                  <c:v>-8.3038642737053419</c:v>
                </c:pt>
                <c:pt idx="459">
                  <c:v>-8.3039156308826865</c:v>
                </c:pt>
                <c:pt idx="460">
                  <c:v>-8.3039669866563877</c:v>
                </c:pt>
                <c:pt idx="461">
                  <c:v>-8.3040183410264596</c:v>
                </c:pt>
                <c:pt idx="462">
                  <c:v>-8.3040696939929344</c:v>
                </c:pt>
                <c:pt idx="463">
                  <c:v>-8.3041210455558421</c:v>
                </c:pt>
                <c:pt idx="464">
                  <c:v>-8.3041723957152094</c:v>
                </c:pt>
                <c:pt idx="465">
                  <c:v>-8.3042237444710612</c:v>
                </c:pt>
                <c:pt idx="466">
                  <c:v>-8.3042750918234258</c:v>
                </c:pt>
                <c:pt idx="467">
                  <c:v>-8.3043264377723336</c:v>
                </c:pt>
                <c:pt idx="468">
                  <c:v>-8.3043777823178075</c:v>
                </c:pt>
                <c:pt idx="469">
                  <c:v>-8.3044291254598708</c:v>
                </c:pt>
                <c:pt idx="470">
                  <c:v>-8.3044804671985606</c:v>
                </c:pt>
                <c:pt idx="471">
                  <c:v>-8.3045318075339001</c:v>
                </c:pt>
                <c:pt idx="472">
                  <c:v>-8.3045831464659123</c:v>
                </c:pt>
                <c:pt idx="473">
                  <c:v>-8.3046344839946364</c:v>
                </c:pt>
                <c:pt idx="474">
                  <c:v>-8.3046858201200848</c:v>
                </c:pt>
                <c:pt idx="475">
                  <c:v>-8.3047371548422912</c:v>
                </c:pt>
                <c:pt idx="476">
                  <c:v>-8.3047884881612859</c:v>
                </c:pt>
                <c:pt idx="477">
                  <c:v>-8.3048398200770954</c:v>
                </c:pt>
                <c:pt idx="478">
                  <c:v>-8.3048911505897465</c:v>
                </c:pt>
                <c:pt idx="479">
                  <c:v>-8.3049424796992639</c:v>
                </c:pt>
                <c:pt idx="480">
                  <c:v>-8.3049938074056744</c:v>
                </c:pt>
                <c:pt idx="481">
                  <c:v>-8.3050451337090099</c:v>
                </c:pt>
                <c:pt idx="482">
                  <c:v>-8.3050964586092917</c:v>
                </c:pt>
                <c:pt idx="483">
                  <c:v>-8.3051477821065518</c:v>
                </c:pt>
                <c:pt idx="484">
                  <c:v>-8.3051991042008222</c:v>
                </c:pt>
                <c:pt idx="485">
                  <c:v>-8.3052504248921188</c:v>
                </c:pt>
                <c:pt idx="486">
                  <c:v>-8.3053017441804773</c:v>
                </c:pt>
                <c:pt idx="487">
                  <c:v>-8.3053530620659206</c:v>
                </c:pt>
                <c:pt idx="488">
                  <c:v>-8.305404378548479</c:v>
                </c:pt>
                <c:pt idx="489">
                  <c:v>-8.3054556936281756</c:v>
                </c:pt>
                <c:pt idx="490">
                  <c:v>-8.3055070073050441</c:v>
                </c:pt>
                <c:pt idx="491">
                  <c:v>-8.3055583195791094</c:v>
                </c:pt>
                <c:pt idx="492">
                  <c:v>-8.3056096304503928</c:v>
                </c:pt>
                <c:pt idx="493">
                  <c:v>-8.3056609399189334</c:v>
                </c:pt>
                <c:pt idx="494">
                  <c:v>-8.3057122479847454</c:v>
                </c:pt>
                <c:pt idx="495">
                  <c:v>-8.3057635546478661</c:v>
                </c:pt>
                <c:pt idx="496">
                  <c:v>-8.3058148599083133</c:v>
                </c:pt>
                <c:pt idx="497">
                  <c:v>-8.3058661637661242</c:v>
                </c:pt>
                <c:pt idx="498">
                  <c:v>-8.305917466221322</c:v>
                </c:pt>
                <c:pt idx="499">
                  <c:v>-8.3059687672739386</c:v>
                </c:pt>
                <c:pt idx="500">
                  <c:v>-8.3060200669239901</c:v>
                </c:pt>
                <c:pt idx="501">
                  <c:v>-8.3060713651715101</c:v>
                </c:pt>
                <c:pt idx="502">
                  <c:v>-8.3061226620165325</c:v>
                </c:pt>
                <c:pt idx="503">
                  <c:v>-8.3061739574590732</c:v>
                </c:pt>
                <c:pt idx="504">
                  <c:v>-8.3062252514991659</c:v>
                </c:pt>
                <c:pt idx="505">
                  <c:v>-8.3062765441368374</c:v>
                </c:pt>
                <c:pt idx="506">
                  <c:v>-8.3063278353721177</c:v>
                </c:pt>
                <c:pt idx="507">
                  <c:v>-8.3063791252050301</c:v>
                </c:pt>
                <c:pt idx="508">
                  <c:v>-8.3064304136355993</c:v>
                </c:pt>
                <c:pt idx="509">
                  <c:v>-8.3064817006638574</c:v>
                </c:pt>
                <c:pt idx="510">
                  <c:v>-8.3065329862898345</c:v>
                </c:pt>
                <c:pt idx="511">
                  <c:v>-8.3065842705135449</c:v>
                </c:pt>
                <c:pt idx="512">
                  <c:v>-8.3066355533350311</c:v>
                </c:pt>
                <c:pt idx="513">
                  <c:v>-8.3066868347543128</c:v>
                </c:pt>
                <c:pt idx="514">
                  <c:v>-8.3067381147714237</c:v>
                </c:pt>
                <c:pt idx="515">
                  <c:v>-8.3067893933863743</c:v>
                </c:pt>
                <c:pt idx="516">
                  <c:v>-8.3068406705992146</c:v>
                </c:pt>
                <c:pt idx="517">
                  <c:v>-8.3068919464099569</c:v>
                </c:pt>
                <c:pt idx="518">
                  <c:v>-8.3069432208186313</c:v>
                </c:pt>
                <c:pt idx="519">
                  <c:v>-8.30699449382527</c:v>
                </c:pt>
                <c:pt idx="520">
                  <c:v>-8.3070457654298959</c:v>
                </c:pt>
                <c:pt idx="521">
                  <c:v>-8.3070970356325393</c:v>
                </c:pt>
                <c:pt idx="522">
                  <c:v>-8.3071483044332179</c:v>
                </c:pt>
                <c:pt idx="523">
                  <c:v>-8.3071995718319709</c:v>
                </c:pt>
                <c:pt idx="524">
                  <c:v>-8.307250837828823</c:v>
                </c:pt>
                <c:pt idx="525">
                  <c:v>-8.3073021024237974</c:v>
                </c:pt>
                <c:pt idx="526">
                  <c:v>-8.3073533656169207</c:v>
                </c:pt>
                <c:pt idx="527">
                  <c:v>-8.3074046274082232</c:v>
                </c:pt>
                <c:pt idx="528">
                  <c:v>-8.3074558877977402</c:v>
                </c:pt>
                <c:pt idx="529">
                  <c:v>-8.307507146785488</c:v>
                </c:pt>
                <c:pt idx="530">
                  <c:v>-8.3075584043714983</c:v>
                </c:pt>
                <c:pt idx="531">
                  <c:v>-8.3076096605557943</c:v>
                </c:pt>
                <c:pt idx="532">
                  <c:v>-8.3076609153384098</c:v>
                </c:pt>
                <c:pt idx="533">
                  <c:v>-8.3077121687193625</c:v>
                </c:pt>
                <c:pt idx="534">
                  <c:v>-8.3077634206986897</c:v>
                </c:pt>
                <c:pt idx="535">
                  <c:v>-8.3078146712764163</c:v>
                </c:pt>
                <c:pt idx="536">
                  <c:v>-8.3078659204525671</c:v>
                </c:pt>
                <c:pt idx="537">
                  <c:v>-8.3079171682271706</c:v>
                </c:pt>
                <c:pt idx="538">
                  <c:v>-8.3079684146002517</c:v>
                </c:pt>
                <c:pt idx="539">
                  <c:v>-8.3080196595718441</c:v>
                </c:pt>
                <c:pt idx="540">
                  <c:v>-8.3080709031419708</c:v>
                </c:pt>
                <c:pt idx="541">
                  <c:v>-8.3081221453106533</c:v>
                </c:pt>
                <c:pt idx="542">
                  <c:v>-8.3081733860779305</c:v>
                </c:pt>
                <c:pt idx="543">
                  <c:v>-8.3082246254438257</c:v>
                </c:pt>
                <c:pt idx="544">
                  <c:v>-8.3082758634083635</c:v>
                </c:pt>
                <c:pt idx="545">
                  <c:v>-8.3083270999715726</c:v>
                </c:pt>
                <c:pt idx="546">
                  <c:v>-8.3083783351334777</c:v>
                </c:pt>
                <c:pt idx="547">
                  <c:v>-8.3084295688941125</c:v>
                </c:pt>
                <c:pt idx="548">
                  <c:v>-8.308480801253495</c:v>
                </c:pt>
                <c:pt idx="549">
                  <c:v>-8.308532032211664</c:v>
                </c:pt>
                <c:pt idx="550">
                  <c:v>-8.3085832617686375</c:v>
                </c:pt>
                <c:pt idx="551">
                  <c:v>-8.3086344899244473</c:v>
                </c:pt>
                <c:pt idx="552">
                  <c:v>-8.3086857166791201</c:v>
                </c:pt>
                <c:pt idx="553">
                  <c:v>-8.3087369420326844</c:v>
                </c:pt>
                <c:pt idx="554">
                  <c:v>-8.3087881659851668</c:v>
                </c:pt>
                <c:pt idx="555">
                  <c:v>-8.3088393885365868</c:v>
                </c:pt>
                <c:pt idx="556">
                  <c:v>-8.3088906096869835</c:v>
                </c:pt>
                <c:pt idx="557">
                  <c:v>-8.3089418294363782</c:v>
                </c:pt>
                <c:pt idx="558">
                  <c:v>-8.3089930477848011</c:v>
                </c:pt>
                <c:pt idx="559">
                  <c:v>-8.3090442647322771</c:v>
                </c:pt>
                <c:pt idx="560">
                  <c:v>-8.3090954802788328</c:v>
                </c:pt>
                <c:pt idx="561">
                  <c:v>-8.309146694424502</c:v>
                </c:pt>
                <c:pt idx="562">
                  <c:v>-8.3091979071693025</c:v>
                </c:pt>
                <c:pt idx="563">
                  <c:v>-8.3092491185132662</c:v>
                </c:pt>
                <c:pt idx="564">
                  <c:v>-8.3093003284564197</c:v>
                </c:pt>
                <c:pt idx="565">
                  <c:v>-8.3093515369987934</c:v>
                </c:pt>
                <c:pt idx="566">
                  <c:v>-8.3094027441404119</c:v>
                </c:pt>
                <c:pt idx="567">
                  <c:v>-8.3094539498813056</c:v>
                </c:pt>
                <c:pt idx="568">
                  <c:v>-8.3095051542214922</c:v>
                </c:pt>
                <c:pt idx="569">
                  <c:v>-8.3095563571610143</c:v>
                </c:pt>
                <c:pt idx="570">
                  <c:v>-8.3096075586998879</c:v>
                </c:pt>
                <c:pt idx="571">
                  <c:v>-8.3096587588381379</c:v>
                </c:pt>
                <c:pt idx="572">
                  <c:v>-8.3097099575758051</c:v>
                </c:pt>
                <c:pt idx="573">
                  <c:v>-8.3097611549129038</c:v>
                </c:pt>
                <c:pt idx="574">
                  <c:v>-8.3098123508494695</c:v>
                </c:pt>
                <c:pt idx="575">
                  <c:v>-8.3098635453855252</c:v>
                </c:pt>
                <c:pt idx="576">
                  <c:v>-8.3099147385210976</c:v>
                </c:pt>
                <c:pt idx="577">
                  <c:v>-8.3099659302562205</c:v>
                </c:pt>
                <c:pt idx="578">
                  <c:v>-8.3100171205909152</c:v>
                </c:pt>
                <c:pt idx="579">
                  <c:v>-8.3100683095252084</c:v>
                </c:pt>
                <c:pt idx="580">
                  <c:v>-8.3101194970591301</c:v>
                </c:pt>
                <c:pt idx="581">
                  <c:v>-8.3101706831927071</c:v>
                </c:pt>
                <c:pt idx="582">
                  <c:v>-8.3102218679259643</c:v>
                </c:pt>
                <c:pt idx="583">
                  <c:v>-8.3102730512589389</c:v>
                </c:pt>
                <c:pt idx="584">
                  <c:v>-8.3103242331916416</c:v>
                </c:pt>
                <c:pt idx="585">
                  <c:v>-8.310375413724115</c:v>
                </c:pt>
                <c:pt idx="586">
                  <c:v>-8.3104265928563787</c:v>
                </c:pt>
                <c:pt idx="587">
                  <c:v>-8.3104777705884612</c:v>
                </c:pt>
                <c:pt idx="588">
                  <c:v>-8.3105289469203871</c:v>
                </c:pt>
                <c:pt idx="589">
                  <c:v>-8.3105801218521886</c:v>
                </c:pt>
                <c:pt idx="590">
                  <c:v>-8.3106312953838959</c:v>
                </c:pt>
                <c:pt idx="591">
                  <c:v>-8.3106824675155284</c:v>
                </c:pt>
                <c:pt idx="592">
                  <c:v>-8.3107336382471146</c:v>
                </c:pt>
                <c:pt idx="593">
                  <c:v>-8.3107848075786865</c:v>
                </c:pt>
                <c:pt idx="594">
                  <c:v>-8.310835975510269</c:v>
                </c:pt>
                <c:pt idx="595">
                  <c:v>-8.3108871420418886</c:v>
                </c:pt>
                <c:pt idx="596">
                  <c:v>-8.3109383071735738</c:v>
                </c:pt>
                <c:pt idx="597">
                  <c:v>-8.3109894709053531</c:v>
                </c:pt>
                <c:pt idx="598">
                  <c:v>-8.3110406332372513</c:v>
                </c:pt>
                <c:pt idx="599">
                  <c:v>-8.3110917941692986</c:v>
                </c:pt>
                <c:pt idx="600">
                  <c:v>-8.3111429537015198</c:v>
                </c:pt>
                <c:pt idx="601">
                  <c:v>-8.3111941118339434</c:v>
                </c:pt>
                <c:pt idx="602">
                  <c:v>-8.3112452685665961</c:v>
                </c:pt>
                <c:pt idx="603">
                  <c:v>-8.3112964238995062</c:v>
                </c:pt>
                <c:pt idx="604">
                  <c:v>-8.3113475778326968</c:v>
                </c:pt>
                <c:pt idx="605">
                  <c:v>-8.3113987303662018</c:v>
                </c:pt>
                <c:pt idx="606">
                  <c:v>-8.3114498815000477</c:v>
                </c:pt>
                <c:pt idx="607">
                  <c:v>-8.3115010312342541</c:v>
                </c:pt>
                <c:pt idx="608">
                  <c:v>-8.3115521795688583</c:v>
                </c:pt>
                <c:pt idx="609">
                  <c:v>-8.3116033265038833</c:v>
                </c:pt>
                <c:pt idx="610">
                  <c:v>-8.3116544720393524</c:v>
                </c:pt>
                <c:pt idx="611">
                  <c:v>-8.3117056161752991</c:v>
                </c:pt>
                <c:pt idx="612">
                  <c:v>-8.3117567589117467</c:v>
                </c:pt>
                <c:pt idx="613">
                  <c:v>-8.3118079002487288</c:v>
                </c:pt>
                <c:pt idx="614">
                  <c:v>-8.3118590401862651</c:v>
                </c:pt>
                <c:pt idx="615">
                  <c:v>-8.3119101787243874</c:v>
                </c:pt>
                <c:pt idx="616">
                  <c:v>-8.3119613158631207</c:v>
                </c:pt>
                <c:pt idx="617">
                  <c:v>-8.3120124516024934</c:v>
                </c:pt>
                <c:pt idx="618">
                  <c:v>-8.3120635859425303</c:v>
                </c:pt>
                <c:pt idx="619">
                  <c:v>-8.3121147188832651</c:v>
                </c:pt>
                <c:pt idx="620">
                  <c:v>-8.3121658504247193</c:v>
                </c:pt>
                <c:pt idx="621">
                  <c:v>-8.3122169805669248</c:v>
                </c:pt>
                <c:pt idx="622">
                  <c:v>-8.3122681093099082</c:v>
                </c:pt>
                <c:pt idx="623">
                  <c:v>-8.3123192366536891</c:v>
                </c:pt>
                <c:pt idx="624">
                  <c:v>-8.3123703625983083</c:v>
                </c:pt>
                <c:pt idx="625">
                  <c:v>-8.31242148714378</c:v>
                </c:pt>
                <c:pt idx="626">
                  <c:v>-8.3124726102901363</c:v>
                </c:pt>
                <c:pt idx="627">
                  <c:v>-8.3125237320374108</c:v>
                </c:pt>
                <c:pt idx="628">
                  <c:v>-8.3125748523856231</c:v>
                </c:pt>
                <c:pt idx="629">
                  <c:v>-8.3126259713348034</c:v>
                </c:pt>
                <c:pt idx="630">
                  <c:v>-8.3126770888849784</c:v>
                </c:pt>
                <c:pt idx="631">
                  <c:v>-8.3127282050361746</c:v>
                </c:pt>
                <c:pt idx="632">
                  <c:v>-8.3127793197884206</c:v>
                </c:pt>
                <c:pt idx="633">
                  <c:v>-8.3128304331417446</c:v>
                </c:pt>
                <c:pt idx="634">
                  <c:v>-8.3128815450961753</c:v>
                </c:pt>
                <c:pt idx="635">
                  <c:v>-8.312932655651732</c:v>
                </c:pt>
                <c:pt idx="636">
                  <c:v>-8.3129837648084504</c:v>
                </c:pt>
                <c:pt idx="637">
                  <c:v>-8.3130348725663588</c:v>
                </c:pt>
                <c:pt idx="638">
                  <c:v>-8.3130859789254767</c:v>
                </c:pt>
                <c:pt idx="639">
                  <c:v>-8.3131370838858327</c:v>
                </c:pt>
                <c:pt idx="640">
                  <c:v>-8.3131881874474605</c:v>
                </c:pt>
                <c:pt idx="641">
                  <c:v>-8.3132392896103848</c:v>
                </c:pt>
                <c:pt idx="642">
                  <c:v>-8.3132903903746307</c:v>
                </c:pt>
                <c:pt idx="643">
                  <c:v>-8.3133414897402318</c:v>
                </c:pt>
                <c:pt idx="644">
                  <c:v>-8.3133925877072041</c:v>
                </c:pt>
                <c:pt idx="645">
                  <c:v>-8.313443684275585</c:v>
                </c:pt>
                <c:pt idx="646">
                  <c:v>-8.3134947794453993</c:v>
                </c:pt>
                <c:pt idx="647">
                  <c:v>-8.3135458732166683</c:v>
                </c:pt>
                <c:pt idx="648">
                  <c:v>-8.3135969655894311</c:v>
                </c:pt>
                <c:pt idx="649">
                  <c:v>-8.3136480565637036</c:v>
                </c:pt>
                <c:pt idx="650">
                  <c:v>-8.3136991461395233</c:v>
                </c:pt>
                <c:pt idx="651">
                  <c:v>-8.3137502343169079</c:v>
                </c:pt>
                <c:pt idx="652">
                  <c:v>-8.3138013210958874</c:v>
                </c:pt>
                <c:pt idx="653">
                  <c:v>-8.3138524064764976</c:v>
                </c:pt>
                <c:pt idx="654">
                  <c:v>-8.3139034904587508</c:v>
                </c:pt>
                <c:pt idx="655">
                  <c:v>-8.3139545730426878</c:v>
                </c:pt>
                <c:pt idx="656">
                  <c:v>-8.3140056542283283</c:v>
                </c:pt>
                <c:pt idx="657">
                  <c:v>-8.3140567340157041</c:v>
                </c:pt>
                <c:pt idx="658">
                  <c:v>-8.3141078124048384</c:v>
                </c:pt>
                <c:pt idx="659">
                  <c:v>-8.3141588893957596</c:v>
                </c:pt>
                <c:pt idx="660">
                  <c:v>-8.3142099649884997</c:v>
                </c:pt>
                <c:pt idx="661">
                  <c:v>-8.3142610391830818</c:v>
                </c:pt>
                <c:pt idx="662">
                  <c:v>-8.314312111979536</c:v>
                </c:pt>
                <c:pt idx="663">
                  <c:v>-8.3143631833778802</c:v>
                </c:pt>
                <c:pt idx="664">
                  <c:v>-8.3144142533781586</c:v>
                </c:pt>
                <c:pt idx="665">
                  <c:v>-8.3144653219803839</c:v>
                </c:pt>
                <c:pt idx="666">
                  <c:v>-8.3145163891845915</c:v>
                </c:pt>
                <c:pt idx="667">
                  <c:v>-8.3145674549908026</c:v>
                </c:pt>
                <c:pt idx="668">
                  <c:v>-8.3146185193990476</c:v>
                </c:pt>
                <c:pt idx="669">
                  <c:v>-8.3146695824093584</c:v>
                </c:pt>
                <c:pt idx="670">
                  <c:v>-8.3147206440217545</c:v>
                </c:pt>
                <c:pt idx="671">
                  <c:v>-8.3147717042362661</c:v>
                </c:pt>
                <c:pt idx="672">
                  <c:v>-8.3148227630529234</c:v>
                </c:pt>
                <c:pt idx="673">
                  <c:v>-8.3148738204717496</c:v>
                </c:pt>
                <c:pt idx="674">
                  <c:v>-8.3149248764927748</c:v>
                </c:pt>
                <c:pt idx="675">
                  <c:v>-8.3149759311160274</c:v>
                </c:pt>
                <c:pt idx="676">
                  <c:v>-8.3150269843415288</c:v>
                </c:pt>
                <c:pt idx="677">
                  <c:v>-8.3150780361693144</c:v>
                </c:pt>
                <c:pt idx="678">
                  <c:v>-8.3151290865994074</c:v>
                </c:pt>
                <c:pt idx="679">
                  <c:v>-8.3151801356318344</c:v>
                </c:pt>
                <c:pt idx="680">
                  <c:v>-8.3152311832666275</c:v>
                </c:pt>
                <c:pt idx="681">
                  <c:v>-8.3152822295038042</c:v>
                </c:pt>
                <c:pt idx="682">
                  <c:v>-8.3153332743434021</c:v>
                </c:pt>
                <c:pt idx="683">
                  <c:v>-8.3153843177854458</c:v>
                </c:pt>
                <c:pt idx="684">
                  <c:v>-8.3154353598299551</c:v>
                </c:pt>
                <c:pt idx="685">
                  <c:v>-8.3154864004769706</c:v>
                </c:pt>
                <c:pt idx="686">
                  <c:v>-8.3155374397265085</c:v>
                </c:pt>
                <c:pt idx="687">
                  <c:v>-8.3155884775786006</c:v>
                </c:pt>
                <c:pt idx="688">
                  <c:v>-8.3156395140332755</c:v>
                </c:pt>
                <c:pt idx="689">
                  <c:v>-8.3156905490905615</c:v>
                </c:pt>
                <c:pt idx="690">
                  <c:v>-8.3157415827504817</c:v>
                </c:pt>
                <c:pt idx="691">
                  <c:v>-8.3157926150130592</c:v>
                </c:pt>
                <c:pt idx="692">
                  <c:v>-8.3158436458783331</c:v>
                </c:pt>
                <c:pt idx="693">
                  <c:v>-8.3158946753463248</c:v>
                </c:pt>
                <c:pt idx="694">
                  <c:v>-8.3159457034170572</c:v>
                </c:pt>
                <c:pt idx="695">
                  <c:v>-8.3159967300905713</c:v>
                </c:pt>
                <c:pt idx="696">
                  <c:v>-8.3160477553668741</c:v>
                </c:pt>
                <c:pt idx="697">
                  <c:v>-8.3160987792460119</c:v>
                </c:pt>
                <c:pt idx="698">
                  <c:v>-8.3161498017280024</c:v>
                </c:pt>
                <c:pt idx="699">
                  <c:v>-8.3162008228128776</c:v>
                </c:pt>
                <c:pt idx="700">
                  <c:v>-8.3162518425006624</c:v>
                </c:pt>
                <c:pt idx="701">
                  <c:v>-8.3163028607913816</c:v>
                </c:pt>
                <c:pt idx="702">
                  <c:v>-8.3163538776850654</c:v>
                </c:pt>
                <c:pt idx="703">
                  <c:v>-8.3164048931817369</c:v>
                </c:pt>
                <c:pt idx="704">
                  <c:v>-8.3164559072814335</c:v>
                </c:pt>
                <c:pt idx="705">
                  <c:v>-8.3165069199841763</c:v>
                </c:pt>
                <c:pt idx="706">
                  <c:v>-8.3165579312899904</c:v>
                </c:pt>
                <c:pt idx="707">
                  <c:v>-8.3166089411989059</c:v>
                </c:pt>
                <c:pt idx="708">
                  <c:v>-8.3166599497109459</c:v>
                </c:pt>
                <c:pt idx="709">
                  <c:v>-8.3167109568261495</c:v>
                </c:pt>
                <c:pt idx="710">
                  <c:v>-8.316761962544529</c:v>
                </c:pt>
                <c:pt idx="711">
                  <c:v>-8.3168129668661255</c:v>
                </c:pt>
                <c:pt idx="712">
                  <c:v>-8.316863969790953</c:v>
                </c:pt>
                <c:pt idx="713">
                  <c:v>-8.3169149713190524</c:v>
                </c:pt>
                <c:pt idx="714">
                  <c:v>-8.3169659714504398</c:v>
                </c:pt>
                <c:pt idx="715">
                  <c:v>-8.3170169701851488</c:v>
                </c:pt>
                <c:pt idx="716">
                  <c:v>-8.3170679675232044</c:v>
                </c:pt>
                <c:pt idx="717">
                  <c:v>-8.317118963464635</c:v>
                </c:pt>
                <c:pt idx="718">
                  <c:v>-8.3171699580094689</c:v>
                </c:pt>
                <c:pt idx="719">
                  <c:v>-8.3172209511577275</c:v>
                </c:pt>
                <c:pt idx="720">
                  <c:v>-8.3172719429094428</c:v>
                </c:pt>
                <c:pt idx="721">
                  <c:v>-8.3173229332646468</c:v>
                </c:pt>
                <c:pt idx="722">
                  <c:v>-8.3173739222233571</c:v>
                </c:pt>
                <c:pt idx="723">
                  <c:v>-8.3174249097856148</c:v>
                </c:pt>
                <c:pt idx="724">
                  <c:v>-8.3174758959514321</c:v>
                </c:pt>
                <c:pt idx="725">
                  <c:v>-8.3175268807208447</c:v>
                </c:pt>
                <c:pt idx="726">
                  <c:v>-8.3175778640938738</c:v>
                </c:pt>
                <c:pt idx="727">
                  <c:v>-8.3176288460705567</c:v>
                </c:pt>
                <c:pt idx="728">
                  <c:v>-8.3176798266509131</c:v>
                </c:pt>
                <c:pt idx="729">
                  <c:v>-8.3177308058349713</c:v>
                </c:pt>
                <c:pt idx="730">
                  <c:v>-8.3177817836227614</c:v>
                </c:pt>
                <c:pt idx="731">
                  <c:v>-8.3178327600143085</c:v>
                </c:pt>
                <c:pt idx="732">
                  <c:v>-8.3178837350096462</c:v>
                </c:pt>
                <c:pt idx="733">
                  <c:v>-8.3179347086087869</c:v>
                </c:pt>
                <c:pt idx="734">
                  <c:v>-8.3179856808117787</c:v>
                </c:pt>
                <c:pt idx="735">
                  <c:v>-8.3180366516186286</c:v>
                </c:pt>
                <c:pt idx="736">
                  <c:v>-8.3180876210293757</c:v>
                </c:pt>
                <c:pt idx="737">
                  <c:v>-8.3181385890440449</c:v>
                </c:pt>
                <c:pt idx="738">
                  <c:v>-8.3181895556626628</c:v>
                </c:pt>
                <c:pt idx="739">
                  <c:v>-8.3182405208852597</c:v>
                </c:pt>
                <c:pt idx="740">
                  <c:v>-8.318291484711855</c:v>
                </c:pt>
                <c:pt idx="741">
                  <c:v>-8.3183424471424807</c:v>
                </c:pt>
                <c:pt idx="742">
                  <c:v>-8.3183934081771724</c:v>
                </c:pt>
                <c:pt idx="743">
                  <c:v>-8.3184443678159461</c:v>
                </c:pt>
                <c:pt idx="744">
                  <c:v>-8.3184953260588355</c:v>
                </c:pt>
                <c:pt idx="745">
                  <c:v>-8.3185462829058618</c:v>
                </c:pt>
                <c:pt idx="746">
                  <c:v>-8.318597238357059</c:v>
                </c:pt>
                <c:pt idx="747">
                  <c:v>-8.3186481924124518</c:v>
                </c:pt>
                <c:pt idx="748">
                  <c:v>-8.3186991450720651</c:v>
                </c:pt>
                <c:pt idx="749">
                  <c:v>-8.3187500963359309</c:v>
                </c:pt>
                <c:pt idx="750">
                  <c:v>-8.3188010462040722</c:v>
                </c:pt>
                <c:pt idx="751">
                  <c:v>-8.3188519946765211</c:v>
                </c:pt>
                <c:pt idx="752">
                  <c:v>-8.3189029417533007</c:v>
                </c:pt>
                <c:pt idx="753">
                  <c:v>-8.3189538874344411</c:v>
                </c:pt>
                <c:pt idx="754">
                  <c:v>-8.3190048317199654</c:v>
                </c:pt>
                <c:pt idx="755">
                  <c:v>-8.319055774609911</c:v>
                </c:pt>
                <c:pt idx="756">
                  <c:v>-8.319106716104292</c:v>
                </c:pt>
                <c:pt idx="757">
                  <c:v>-8.3191576562031404</c:v>
                </c:pt>
                <c:pt idx="758">
                  <c:v>-8.31920859490649</c:v>
                </c:pt>
                <c:pt idx="759">
                  <c:v>-8.3192595322143639</c:v>
                </c:pt>
                <c:pt idx="760">
                  <c:v>-8.3193104681267869</c:v>
                </c:pt>
                <c:pt idx="761">
                  <c:v>-8.3193614026437874</c:v>
                </c:pt>
                <c:pt idx="762">
                  <c:v>-8.3194123357653975</c:v>
                </c:pt>
                <c:pt idx="763">
                  <c:v>-8.3194632674916384</c:v>
                </c:pt>
                <c:pt idx="764">
                  <c:v>-8.319514197822544</c:v>
                </c:pt>
                <c:pt idx="765">
                  <c:v>-8.3195651267581319</c:v>
                </c:pt>
                <c:pt idx="766">
                  <c:v>-8.3196160542984394</c:v>
                </c:pt>
                <c:pt idx="767">
                  <c:v>-8.319666980443488</c:v>
                </c:pt>
                <c:pt idx="768">
                  <c:v>-8.3197179051933041</c:v>
                </c:pt>
                <c:pt idx="769">
                  <c:v>-8.3197688285479217</c:v>
                </c:pt>
                <c:pt idx="770">
                  <c:v>-8.3198197505073601</c:v>
                </c:pt>
                <c:pt idx="771">
                  <c:v>-8.3198706710716568</c:v>
                </c:pt>
                <c:pt idx="772">
                  <c:v>-8.319921590240833</c:v>
                </c:pt>
                <c:pt idx="773">
                  <c:v>-8.3199725080149101</c:v>
                </c:pt>
                <c:pt idx="774">
                  <c:v>-8.3200234243939271</c:v>
                </c:pt>
                <c:pt idx="775">
                  <c:v>-8.3200743393779035</c:v>
                </c:pt>
                <c:pt idx="776">
                  <c:v>-8.3201252529668714</c:v>
                </c:pt>
                <c:pt idx="777">
                  <c:v>-8.3201761651608539</c:v>
                </c:pt>
                <c:pt idx="778">
                  <c:v>-8.3202270759598793</c:v>
                </c:pt>
                <c:pt idx="779">
                  <c:v>-8.3202779853639743</c:v>
                </c:pt>
                <c:pt idx="780">
                  <c:v>-8.3203288933731709</c:v>
                </c:pt>
                <c:pt idx="781">
                  <c:v>-8.320379799987494</c:v>
                </c:pt>
                <c:pt idx="782">
                  <c:v>-8.3204307052069719</c:v>
                </c:pt>
                <c:pt idx="783">
                  <c:v>-8.320481609031626</c:v>
                </c:pt>
                <c:pt idx="784">
                  <c:v>-8.3205325114614901</c:v>
                </c:pt>
                <c:pt idx="785">
                  <c:v>-8.3205834124965925</c:v>
                </c:pt>
                <c:pt idx="786">
                  <c:v>-8.3206343121369546</c:v>
                </c:pt>
                <c:pt idx="787">
                  <c:v>-8.3206852103826066</c:v>
                </c:pt>
                <c:pt idx="788">
                  <c:v>-8.3207361072335839</c:v>
                </c:pt>
                <c:pt idx="789">
                  <c:v>-8.3207870026898938</c:v>
                </c:pt>
                <c:pt idx="790">
                  <c:v>-8.3208378967515859</c:v>
                </c:pt>
                <c:pt idx="791">
                  <c:v>-8.3208887894186763</c:v>
                </c:pt>
                <c:pt idx="792">
                  <c:v>-8.3209396806911879</c:v>
                </c:pt>
                <c:pt idx="793">
                  <c:v>-8.3209905705691618</c:v>
                </c:pt>
                <c:pt idx="794">
                  <c:v>-8.3210414590526121</c:v>
                </c:pt>
                <c:pt idx="795">
                  <c:v>-8.3210923461415707</c:v>
                </c:pt>
                <c:pt idx="796">
                  <c:v>-8.3211432318360696</c:v>
                </c:pt>
                <c:pt idx="797">
                  <c:v>-8.321194116136132</c:v>
                </c:pt>
                <c:pt idx="798">
                  <c:v>-8.3212449990417809</c:v>
                </c:pt>
                <c:pt idx="799">
                  <c:v>-8.321295880553059</c:v>
                </c:pt>
                <c:pt idx="800">
                  <c:v>-8.3213467606699734</c:v>
                </c:pt>
                <c:pt idx="801">
                  <c:v>-8.3213976393925666</c:v>
                </c:pt>
                <c:pt idx="802">
                  <c:v>-8.3214485167208565</c:v>
                </c:pt>
                <c:pt idx="803">
                  <c:v>-8.3214993926548821</c:v>
                </c:pt>
                <c:pt idx="804">
                  <c:v>-8.3215502671946542</c:v>
                </c:pt>
                <c:pt idx="805">
                  <c:v>-8.321601140340217</c:v>
                </c:pt>
                <c:pt idx="806">
                  <c:v>-8.3216520120915778</c:v>
                </c:pt>
                <c:pt idx="807">
                  <c:v>-8.3217028824487898</c:v>
                </c:pt>
                <c:pt idx="808">
                  <c:v>-8.32175375141186</c:v>
                </c:pt>
                <c:pt idx="809">
                  <c:v>-8.3218046189808241</c:v>
                </c:pt>
                <c:pt idx="810">
                  <c:v>-8.3218554851557105</c:v>
                </c:pt>
                <c:pt idx="811">
                  <c:v>-8.321906349936544</c:v>
                </c:pt>
                <c:pt idx="812">
                  <c:v>-8.321957213323353</c:v>
                </c:pt>
                <c:pt idx="813">
                  <c:v>-8.3220080753161589</c:v>
                </c:pt>
                <c:pt idx="814">
                  <c:v>-8.3220589359149972</c:v>
                </c:pt>
                <c:pt idx="815">
                  <c:v>-8.3221097951198928</c:v>
                </c:pt>
                <c:pt idx="816">
                  <c:v>-8.3221606529308687</c:v>
                </c:pt>
                <c:pt idx="817">
                  <c:v>-8.3222115093479605</c:v>
                </c:pt>
                <c:pt idx="818">
                  <c:v>-8.3222623643711895</c:v>
                </c:pt>
                <c:pt idx="819">
                  <c:v>-8.3223132180005841</c:v>
                </c:pt>
                <c:pt idx="820">
                  <c:v>-8.3223640702361745</c:v>
                </c:pt>
                <c:pt idx="821">
                  <c:v>-8.3224149210779856</c:v>
                </c:pt>
                <c:pt idx="822">
                  <c:v>-8.3224657705260441</c:v>
                </c:pt>
                <c:pt idx="823">
                  <c:v>-8.3225166185803783</c:v>
                </c:pt>
                <c:pt idx="824">
                  <c:v>-8.3225674652410131</c:v>
                </c:pt>
                <c:pt idx="825">
                  <c:v>-8.3226183105079805</c:v>
                </c:pt>
                <c:pt idx="826">
                  <c:v>-8.3226691543813072</c:v>
                </c:pt>
                <c:pt idx="827">
                  <c:v>-8.3227199968610179</c:v>
                </c:pt>
                <c:pt idx="828">
                  <c:v>-8.3227708379471395</c:v>
                </c:pt>
                <c:pt idx="829">
                  <c:v>-8.3228216776397055</c:v>
                </c:pt>
                <c:pt idx="830">
                  <c:v>-8.3228725159387373</c:v>
                </c:pt>
                <c:pt idx="831">
                  <c:v>-8.3229233528442563</c:v>
                </c:pt>
                <c:pt idx="832">
                  <c:v>-8.3229741883563051</c:v>
                </c:pt>
                <c:pt idx="833">
                  <c:v>-8.3230250224749014</c:v>
                </c:pt>
                <c:pt idx="834">
                  <c:v>-8.3230758552000808</c:v>
                </c:pt>
                <c:pt idx="835">
                  <c:v>-8.3231266865318592</c:v>
                </c:pt>
                <c:pt idx="836">
                  <c:v>-8.3231775164702668</c:v>
                </c:pt>
                <c:pt idx="837">
                  <c:v>-8.3232283450153375</c:v>
                </c:pt>
                <c:pt idx="838">
                  <c:v>-8.3232791721670942</c:v>
                </c:pt>
                <c:pt idx="839">
                  <c:v>-8.3233299979255637</c:v>
                </c:pt>
                <c:pt idx="840">
                  <c:v>-8.323380822290769</c:v>
                </c:pt>
                <c:pt idx="841">
                  <c:v>-8.3234316452627493</c:v>
                </c:pt>
                <c:pt idx="842">
                  <c:v>-8.3234824668415293</c:v>
                </c:pt>
                <c:pt idx="843">
                  <c:v>-8.323533287027125</c:v>
                </c:pt>
                <c:pt idx="844">
                  <c:v>-8.3235841058195774</c:v>
                </c:pt>
                <c:pt idx="845">
                  <c:v>-8.3236349232189042</c:v>
                </c:pt>
                <c:pt idx="846">
                  <c:v>-8.3236857392251355</c:v>
                </c:pt>
                <c:pt idx="847">
                  <c:v>-8.3237365538383035</c:v>
                </c:pt>
                <c:pt idx="848">
                  <c:v>-8.323787367058431</c:v>
                </c:pt>
                <c:pt idx="849">
                  <c:v>-8.3238381788855431</c:v>
                </c:pt>
                <c:pt idx="850">
                  <c:v>-8.3238889893196735</c:v>
                </c:pt>
                <c:pt idx="851">
                  <c:v>-8.3239397983608452</c:v>
                </c:pt>
                <c:pt idx="852">
                  <c:v>-8.3239906060090814</c:v>
                </c:pt>
                <c:pt idx="853">
                  <c:v>-8.3240414122644246</c:v>
                </c:pt>
                <c:pt idx="854">
                  <c:v>-8.3240922171268892</c:v>
                </c:pt>
                <c:pt idx="855">
                  <c:v>-8.3241430205965052</c:v>
                </c:pt>
                <c:pt idx="856">
                  <c:v>-8.3241938226733012</c:v>
                </c:pt>
                <c:pt idx="857">
                  <c:v>-8.3242446233572984</c:v>
                </c:pt>
                <c:pt idx="858">
                  <c:v>-8.3242954226485377</c:v>
                </c:pt>
                <c:pt idx="859">
                  <c:v>-8.324346220547028</c:v>
                </c:pt>
                <c:pt idx="860">
                  <c:v>-8.3243970170528154</c:v>
                </c:pt>
                <c:pt idx="861">
                  <c:v>-8.3244478121659178</c:v>
                </c:pt>
                <c:pt idx="862">
                  <c:v>-8.3244986058863617</c:v>
                </c:pt>
                <c:pt idx="863">
                  <c:v>-8.3245493982141827</c:v>
                </c:pt>
                <c:pt idx="864">
                  <c:v>-8.324600189149395</c:v>
                </c:pt>
                <c:pt idx="865">
                  <c:v>-8.3246509786920324</c:v>
                </c:pt>
                <c:pt idx="866">
                  <c:v>-8.3247017668421286</c:v>
                </c:pt>
                <c:pt idx="867">
                  <c:v>-8.3247525535997013</c:v>
                </c:pt>
                <c:pt idx="868">
                  <c:v>-8.3248033389647826</c:v>
                </c:pt>
                <c:pt idx="869">
                  <c:v>-8.3248541229373991</c:v>
                </c:pt>
                <c:pt idx="870">
                  <c:v>-8.3249049055175846</c:v>
                </c:pt>
                <c:pt idx="871">
                  <c:v>-8.3249556867053585</c:v>
                </c:pt>
                <c:pt idx="872">
                  <c:v>-8.3250064665007457</c:v>
                </c:pt>
                <c:pt idx="873">
                  <c:v>-8.3250572449037819</c:v>
                </c:pt>
                <c:pt idx="874">
                  <c:v>-8.3251080219144828</c:v>
                </c:pt>
                <c:pt idx="875">
                  <c:v>-8.3251587975328913</c:v>
                </c:pt>
                <c:pt idx="876">
                  <c:v>-8.3252095717590215</c:v>
                </c:pt>
                <c:pt idx="877">
                  <c:v>-8.325260344592909</c:v>
                </c:pt>
                <c:pt idx="878">
                  <c:v>-8.325311116034575</c:v>
                </c:pt>
                <c:pt idx="879">
                  <c:v>-8.3253618860840515</c:v>
                </c:pt>
                <c:pt idx="880">
                  <c:v>-8.3254126547413687</c:v>
                </c:pt>
                <c:pt idx="881">
                  <c:v>-8.3254634220065515</c:v>
                </c:pt>
                <c:pt idx="882">
                  <c:v>-8.3255141878796213</c:v>
                </c:pt>
                <c:pt idx="883">
                  <c:v>-8.3255649523606063</c:v>
                </c:pt>
                <c:pt idx="884">
                  <c:v>-8.3256157154495405</c:v>
                </c:pt>
                <c:pt idx="885">
                  <c:v>-8.3256664771464504</c:v>
                </c:pt>
                <c:pt idx="886">
                  <c:v>-8.3257172374513573</c:v>
                </c:pt>
                <c:pt idx="887">
                  <c:v>-8.3257679963642932</c:v>
                </c:pt>
                <c:pt idx="888">
                  <c:v>-8.3258187538852901</c:v>
                </c:pt>
                <c:pt idx="889">
                  <c:v>-8.325869510014364</c:v>
                </c:pt>
                <c:pt idx="890">
                  <c:v>-8.3259202647515504</c:v>
                </c:pt>
                <c:pt idx="891">
                  <c:v>-8.3259710180968742</c:v>
                </c:pt>
                <c:pt idx="892">
                  <c:v>-8.3260217700503656</c:v>
                </c:pt>
                <c:pt idx="893">
                  <c:v>-8.3260725206120441</c:v>
                </c:pt>
                <c:pt idx="894">
                  <c:v>-8.3261232697819541</c:v>
                </c:pt>
                <c:pt idx="895">
                  <c:v>-8.3261740175601009</c:v>
                </c:pt>
                <c:pt idx="896">
                  <c:v>-8.3262247639465237</c:v>
                </c:pt>
                <c:pt idx="897">
                  <c:v>-8.3262755089412543</c:v>
                </c:pt>
                <c:pt idx="898">
                  <c:v>-8.3263262525443107</c:v>
                </c:pt>
                <c:pt idx="899">
                  <c:v>-8.3263769947557247</c:v>
                </c:pt>
                <c:pt idx="900">
                  <c:v>-8.3264277355755265</c:v>
                </c:pt>
                <c:pt idx="901">
                  <c:v>-8.3264784750037322</c:v>
                </c:pt>
                <c:pt idx="902">
                  <c:v>-8.3265292130403825</c:v>
                </c:pt>
                <c:pt idx="903">
                  <c:v>-8.3265799496854971</c:v>
                </c:pt>
                <c:pt idx="904">
                  <c:v>-8.3266306849391061</c:v>
                </c:pt>
                <c:pt idx="905">
                  <c:v>-8.3266814188012415</c:v>
                </c:pt>
                <c:pt idx="906">
                  <c:v>-8.326732151271921</c:v>
                </c:pt>
                <c:pt idx="907">
                  <c:v>-8.3267828823511767</c:v>
                </c:pt>
                <c:pt idx="908">
                  <c:v>-8.3268336120390387</c:v>
                </c:pt>
                <c:pt idx="909">
                  <c:v>-8.3268843403355266</c:v>
                </c:pt>
                <c:pt idx="910">
                  <c:v>-8.3269350672406759</c:v>
                </c:pt>
                <c:pt idx="911">
                  <c:v>-8.3269857927545115</c:v>
                </c:pt>
                <c:pt idx="912">
                  <c:v>-8.3270365168770564</c:v>
                </c:pt>
                <c:pt idx="913">
                  <c:v>-8.3270872396083444</c:v>
                </c:pt>
                <c:pt idx="914">
                  <c:v>-8.3271379609484057</c:v>
                </c:pt>
                <c:pt idx="915">
                  <c:v>-8.3271886808972582</c:v>
                </c:pt>
                <c:pt idx="916">
                  <c:v>-8.3272393994549319</c:v>
                </c:pt>
                <c:pt idx="917">
                  <c:v>-8.3272901166214552</c:v>
                </c:pt>
                <c:pt idx="918">
                  <c:v>-8.327340832396855</c:v>
                </c:pt>
                <c:pt idx="919">
                  <c:v>-8.3273915467811594</c:v>
                </c:pt>
                <c:pt idx="920">
                  <c:v>-8.3274422597744024</c:v>
                </c:pt>
                <c:pt idx="921">
                  <c:v>-8.3274929713765982</c:v>
                </c:pt>
                <c:pt idx="922">
                  <c:v>-8.3275436815877821</c:v>
                </c:pt>
                <c:pt idx="923">
                  <c:v>-8.327594390407981</c:v>
                </c:pt>
                <c:pt idx="924">
                  <c:v>-8.327645097837225</c:v>
                </c:pt>
                <c:pt idx="925">
                  <c:v>-8.3276958038755335</c:v>
                </c:pt>
                <c:pt idx="926">
                  <c:v>-8.327746508522937</c:v>
                </c:pt>
                <c:pt idx="927">
                  <c:v>-8.3277972117794725</c:v>
                </c:pt>
                <c:pt idx="928">
                  <c:v>-8.3278479136451526</c:v>
                </c:pt>
                <c:pt idx="929">
                  <c:v>-8.3278986141200164</c:v>
                </c:pt>
                <c:pt idx="930">
                  <c:v>-8.3279493132040852</c:v>
                </c:pt>
                <c:pt idx="931">
                  <c:v>-8.328000010897382</c:v>
                </c:pt>
                <c:pt idx="932">
                  <c:v>-8.3280507071999459</c:v>
                </c:pt>
                <c:pt idx="933">
                  <c:v>-8.3281014021118018</c:v>
                </c:pt>
                <c:pt idx="934">
                  <c:v>-8.328152095632964</c:v>
                </c:pt>
                <c:pt idx="935">
                  <c:v>-8.3282027877634732</c:v>
                </c:pt>
                <c:pt idx="936">
                  <c:v>-8.3282534785033544</c:v>
                </c:pt>
                <c:pt idx="937">
                  <c:v>-8.3283041678526377</c:v>
                </c:pt>
                <c:pt idx="938">
                  <c:v>-8.3283548558113356</c:v>
                </c:pt>
                <c:pt idx="939">
                  <c:v>-8.3284055423794925</c:v>
                </c:pt>
                <c:pt idx="940">
                  <c:v>-8.3284562275571314</c:v>
                </c:pt>
                <c:pt idx="941">
                  <c:v>-8.328506911344272</c:v>
                </c:pt>
                <c:pt idx="942">
                  <c:v>-8.3285575937409533</c:v>
                </c:pt>
                <c:pt idx="943">
                  <c:v>-8.328608274747193</c:v>
                </c:pt>
                <c:pt idx="944">
                  <c:v>-8.3286589543630214</c:v>
                </c:pt>
                <c:pt idx="945">
                  <c:v>-8.3287096325884775</c:v>
                </c:pt>
                <c:pt idx="946">
                  <c:v>-8.3287603094235703</c:v>
                </c:pt>
                <c:pt idx="947">
                  <c:v>-8.3288109848683334</c:v>
                </c:pt>
                <c:pt idx="948">
                  <c:v>-8.3288616589227988</c:v>
                </c:pt>
                <c:pt idx="949">
                  <c:v>-8.328912331586988</c:v>
                </c:pt>
                <c:pt idx="950">
                  <c:v>-8.3289630028609256</c:v>
                </c:pt>
                <c:pt idx="951">
                  <c:v>-8.329013672744658</c:v>
                </c:pt>
                <c:pt idx="952">
                  <c:v>-8.3290643412381939</c:v>
                </c:pt>
                <c:pt idx="953">
                  <c:v>-8.3291150083415655</c:v>
                </c:pt>
                <c:pt idx="954">
                  <c:v>-8.3291656740547992</c:v>
                </c:pt>
                <c:pt idx="955">
                  <c:v>-8.3292163383779254</c:v>
                </c:pt>
                <c:pt idx="956">
                  <c:v>-8.329267001310976</c:v>
                </c:pt>
                <c:pt idx="957">
                  <c:v>-8.3293176628539651</c:v>
                </c:pt>
                <c:pt idx="958">
                  <c:v>-8.329368323006932</c:v>
                </c:pt>
                <c:pt idx="959">
                  <c:v>-8.3294189817698943</c:v>
                </c:pt>
                <c:pt idx="960">
                  <c:v>-8.3294696391428911</c:v>
                </c:pt>
                <c:pt idx="961">
                  <c:v>-8.3295202951259402</c:v>
                </c:pt>
                <c:pt idx="962">
                  <c:v>-8.3295709497190664</c:v>
                </c:pt>
                <c:pt idx="963">
                  <c:v>-8.3296216029223107</c:v>
                </c:pt>
                <c:pt idx="964">
                  <c:v>-8.3296722547356907</c:v>
                </c:pt>
                <c:pt idx="965">
                  <c:v>-8.3297229051592403</c:v>
                </c:pt>
                <c:pt idx="966">
                  <c:v>-8.3297735541929754</c:v>
                </c:pt>
                <c:pt idx="967">
                  <c:v>-8.3298242018369351</c:v>
                </c:pt>
                <c:pt idx="968">
                  <c:v>-8.3298748480911389</c:v>
                </c:pt>
                <c:pt idx="969">
                  <c:v>-8.3299254929556188</c:v>
                </c:pt>
                <c:pt idx="970">
                  <c:v>-8.3299761364303997</c:v>
                </c:pt>
                <c:pt idx="971">
                  <c:v>-8.3300267785155135</c:v>
                </c:pt>
                <c:pt idx="972">
                  <c:v>-8.3300774192109852</c:v>
                </c:pt>
                <c:pt idx="973">
                  <c:v>-8.3301280585168378</c:v>
                </c:pt>
                <c:pt idx="974">
                  <c:v>-8.3301786964330997</c:v>
                </c:pt>
                <c:pt idx="975">
                  <c:v>-8.3302293329598083</c:v>
                </c:pt>
                <c:pt idx="976">
                  <c:v>-8.3302799680969777</c:v>
                </c:pt>
                <c:pt idx="977">
                  <c:v>-8.3303306018446417</c:v>
                </c:pt>
                <c:pt idx="978">
                  <c:v>-8.3303812342028287</c:v>
                </c:pt>
                <c:pt idx="979">
                  <c:v>-8.3304318651715636</c:v>
                </c:pt>
                <c:pt idx="980">
                  <c:v>-8.3304824947508749</c:v>
                </c:pt>
                <c:pt idx="981">
                  <c:v>-8.3305331229407891</c:v>
                </c:pt>
                <c:pt idx="982">
                  <c:v>-8.3305837497413346</c:v>
                </c:pt>
                <c:pt idx="983">
                  <c:v>-8.33063437515254</c:v>
                </c:pt>
                <c:pt idx="984">
                  <c:v>-8.3306849991744318</c:v>
                </c:pt>
                <c:pt idx="985">
                  <c:v>-8.3307356218070296</c:v>
                </c:pt>
                <c:pt idx="986">
                  <c:v>-8.3307862430503743</c:v>
                </c:pt>
                <c:pt idx="987">
                  <c:v>-8.3308368629044889</c:v>
                </c:pt>
                <c:pt idx="988">
                  <c:v>-8.3308874813693983</c:v>
                </c:pt>
                <c:pt idx="989">
                  <c:v>-8.3309380984451256</c:v>
                </c:pt>
                <c:pt idx="990">
                  <c:v>-8.3309887141317027</c:v>
                </c:pt>
                <c:pt idx="991">
                  <c:v>-8.3310393284291635</c:v>
                </c:pt>
                <c:pt idx="992">
                  <c:v>-8.3310899413375274</c:v>
                </c:pt>
                <c:pt idx="993">
                  <c:v>-8.3311405528568212</c:v>
                </c:pt>
                <c:pt idx="994">
                  <c:v>-8.3311911629870767</c:v>
                </c:pt>
                <c:pt idx="995">
                  <c:v>-8.3312417717283207</c:v>
                </c:pt>
                <c:pt idx="996">
                  <c:v>-8.3312923790805762</c:v>
                </c:pt>
                <c:pt idx="997">
                  <c:v>-8.3313429850438769</c:v>
                </c:pt>
                <c:pt idx="998">
                  <c:v>-8.3313935896182496</c:v>
                </c:pt>
                <c:pt idx="999">
                  <c:v>-8.3314441928037137</c:v>
                </c:pt>
                <c:pt idx="1000">
                  <c:v>-8.3314947946003013</c:v>
                </c:pt>
              </c:numCache>
            </c:numRef>
          </c:yVal>
          <c:smooth val="0"/>
          <c:extLst>
            <c:ext xmlns:c16="http://schemas.microsoft.com/office/drawing/2014/chart" uri="{C3380CC4-5D6E-409C-BE32-E72D297353CC}">
              <c16:uniqueId val="{00000001-BDD6-4E9B-9AFA-2396233049A9}"/>
            </c:ext>
          </c:extLst>
        </c:ser>
        <c:dLbls>
          <c:showLegendKey val="0"/>
          <c:showVal val="0"/>
          <c:showCatName val="0"/>
          <c:showSerName val="0"/>
          <c:showPercent val="0"/>
          <c:showBubbleSize val="0"/>
        </c:dLbls>
        <c:axId val="149575168"/>
        <c:axId val="149577088"/>
      </c:scatterChart>
      <c:valAx>
        <c:axId val="149575168"/>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1"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577088"/>
        <c:crosses val="autoZero"/>
        <c:crossBetween val="midCat"/>
      </c:valAx>
      <c:valAx>
        <c:axId val="149577088"/>
        <c:scaling>
          <c:orientation val="minMax"/>
        </c:scaling>
        <c:delete val="0"/>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fr-FR"/>
                  <a:t>Accélérations [m/s²]_</a:t>
                </a:r>
              </a:p>
            </c:rich>
          </c:tx>
          <c:layout>
            <c:manualLayout>
              <c:xMode val="edge"/>
              <c:yMode val="edge"/>
              <c:x val="2.712264150943397E-2"/>
              <c:y val="0.29738652668416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575168"/>
        <c:crosses val="autoZero"/>
        <c:crossBetween val="midCat"/>
      </c:valAx>
      <c:spPr>
        <a:noFill/>
        <a:ln w="12700">
          <a:solidFill>
            <a:srgbClr val="808080"/>
          </a:solidFill>
          <a:prstDash val="solid"/>
        </a:ln>
      </c:spPr>
    </c:plotArea>
    <c:legend>
      <c:legendPos val="r"/>
      <c:layout>
        <c:manualLayout>
          <c:xMode val="edge"/>
          <c:yMode val="edge"/>
          <c:x val="0.66195018075570744"/>
          <c:y val="0.25777777777777783"/>
          <c:w val="0.30974867528351424"/>
          <c:h val="0.15777777777777779"/>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fr-FR"/>
              <a:t>Positions</a:t>
            </a:r>
          </a:p>
        </c:rich>
      </c:tx>
      <c:overlay val="1"/>
    </c:title>
    <c:autoTitleDeleted val="0"/>
    <c:plotArea>
      <c:layout>
        <c:manualLayout>
          <c:layoutTarget val="inner"/>
          <c:xMode val="edge"/>
          <c:yMode val="edge"/>
          <c:x val="0.11674528301886802"/>
          <c:y val="9.4771544282144501E-2"/>
          <c:w val="0.86438679245283023"/>
          <c:h val="0.73856444854360881"/>
        </c:manualLayout>
      </c:layout>
      <c:scatterChart>
        <c:scatterStyle val="lineMarker"/>
        <c:varyColors val="0"/>
        <c:ser>
          <c:idx val="0"/>
          <c:order val="0"/>
          <c:tx>
            <c:strRef>
              <c:f>Courbes!$B$144</c:f>
              <c:strCache>
                <c:ptCount val="1"/>
                <c:pt idx="0">
                  <c:v>Portée</c:v>
                </c:pt>
              </c:strCache>
            </c:strRef>
          </c:tx>
          <c:spPr>
            <a:ln w="25400">
              <a:solidFill>
                <a:srgbClr val="80000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Calculs!$J$4:$J$1004</c:f>
              <c:numCache>
                <c:formatCode>0.00</c:formatCode>
                <c:ptCount val="1001"/>
                <c:pt idx="0">
                  <c:v>0</c:v>
                </c:pt>
                <c:pt idx="1">
                  <c:v>6.7783774822309894E-5</c:v>
                </c:pt>
                <c:pt idx="2">
                  <c:v>8.5917524268844616E-4</c:v>
                </c:pt>
                <c:pt idx="3">
                  <c:v>3.4467856674852354E-3</c:v>
                </c:pt>
                <c:pt idx="4">
                  <c:v>8.4015773779175448E-3</c:v>
                </c:pt>
                <c:pt idx="5">
                  <c:v>1.5807645083408789E-2</c:v>
                </c:pt>
                <c:pt idx="6">
                  <c:v>2.5580948224850325E-2</c:v>
                </c:pt>
                <c:pt idx="7">
                  <c:v>3.7557745617713273E-2</c:v>
                </c:pt>
                <c:pt idx="8">
                  <c:v>5.1631019987200918E-2</c:v>
                </c:pt>
                <c:pt idx="9">
                  <c:v>6.7807859040123555E-2</c:v>
                </c:pt>
                <c:pt idx="10">
                  <c:v>8.6152459782905796E-2</c:v>
                </c:pt>
                <c:pt idx="11">
                  <c:v>0.1067168735863283</c:v>
                </c:pt>
                <c:pt idx="12">
                  <c:v>0.12952886380755788</c:v>
                </c:pt>
                <c:pt idx="13">
                  <c:v>0.15460396180885039</c:v>
                </c:pt>
                <c:pt idx="14">
                  <c:v>0.18195755541462671</c:v>
                </c:pt>
                <c:pt idx="15">
                  <c:v>0.21160488547451356</c:v>
                </c:pt>
                <c:pt idx="16">
                  <c:v>0.24356104243613866</c:v>
                </c:pt>
                <c:pt idx="17">
                  <c:v>0.27784096292963201</c:v>
                </c:pt>
                <c:pt idx="18">
                  <c:v>0.31445942636580693</c:v>
                </c:pt>
                <c:pt idx="19">
                  <c:v>0.35343105155001425</c:v>
                </c:pt>
                <c:pt idx="20">
                  <c:v>0.39477029331368158</c:v>
                </c:pt>
                <c:pt idx="21">
                  <c:v>0.43848951301873451</c:v>
                </c:pt>
                <c:pt idx="22">
                  <c:v>0.48468099402825987</c:v>
                </c:pt>
                <c:pt idx="23">
                  <c:v>0.53343939310839017</c:v>
                </c:pt>
                <c:pt idx="24">
                  <c:v>0.58477960085660852</c:v>
                </c:pt>
                <c:pt idx="25">
                  <c:v>0.63871604002330273</c:v>
                </c:pt>
                <c:pt idx="26">
                  <c:v>0.69526262421254081</c:v>
                </c:pt>
                <c:pt idx="27">
                  <c:v>0.75443278162206173</c:v>
                </c:pt>
                <c:pt idx="28">
                  <c:v>0.81623947575588296</c:v>
                </c:pt>
                <c:pt idx="29">
                  <c:v>0.88069522358435426</c:v>
                </c:pt>
                <c:pt idx="30">
                  <c:v>0.94781211153902278</c:v>
                </c:pt>
                <c:pt idx="31">
                  <c:v>1.0175978200451203</c:v>
                </c:pt>
                <c:pt idx="32">
                  <c:v>1.0900516137417668</c:v>
                </c:pt>
                <c:pt idx="33">
                  <c:v>1.1651683059906524</c:v>
                </c:pt>
                <c:pt idx="34">
                  <c:v>1.242942259135928</c:v>
                </c:pt>
                <c:pt idx="35">
                  <c:v>1.3233674016784351</c:v>
                </c:pt>
                <c:pt idx="36">
                  <c:v>1.4064372441363855</c:v>
                </c:pt>
                <c:pt idx="37">
                  <c:v>1.4921448937634845</c:v>
                </c:pt>
                <c:pt idx="38">
                  <c:v>1.5804830682691837</c:v>
                </c:pt>
                <c:pt idx="39">
                  <c:v>1.671444108664097</c:v>
                </c:pt>
                <c:pt idx="40">
                  <c:v>1.7650199913356814</c:v>
                </c:pt>
                <c:pt idx="41">
                  <c:v>1.8612023394443464</c:v>
                </c:pt>
                <c:pt idx="42">
                  <c:v>1.959982433717635</c:v>
                </c:pt>
                <c:pt idx="43">
                  <c:v>2.0613512227095927</c:v>
                </c:pt>
                <c:pt idx="44">
                  <c:v>2.1652993325835137</c:v>
                </c:pt>
                <c:pt idx="45">
                  <c:v>2.2718170764686896</c:v>
                </c:pt>
                <c:pt idx="46">
                  <c:v>2.3808944634353049</c:v>
                </c:pt>
                <c:pt idx="47">
                  <c:v>2.4925212071260909</c:v>
                </c:pt>
                <c:pt idx="48">
                  <c:v>2.6066867340785747</c:v>
                </c:pt>
                <c:pt idx="49">
                  <c:v>2.7233801917676432</c:v>
                </c:pt>
                <c:pt idx="50">
                  <c:v>2.8425904563945759</c:v>
                </c:pt>
                <c:pt idx="51">
                  <c:v>2.9643061404455926</c:v>
                </c:pt>
                <c:pt idx="52">
                  <c:v>3.0885156000402714</c:v>
                </c:pt>
                <c:pt idx="53">
                  <c:v>3.2152069420878102</c:v>
                </c:pt>
                <c:pt idx="54">
                  <c:v>3.3443680312670514</c:v>
                </c:pt>
                <c:pt idx="55">
                  <c:v>3.475986496844353</c:v>
                </c:pt>
                <c:pt idx="56">
                  <c:v>3.6100497393417927</c:v>
                </c:pt>
                <c:pt idx="57">
                  <c:v>3.7465449370667754</c:v>
                </c:pt>
                <c:pt idx="58">
                  <c:v>3.8854590525128554</c:v>
                </c:pt>
                <c:pt idx="59">
                  <c:v>4.0267788386404799</c:v>
                </c:pt>
                <c:pt idx="60">
                  <c:v>4.1704908450453733</c:v>
                </c:pt>
                <c:pt idx="61">
                  <c:v>4.3165814240213995</c:v>
                </c:pt>
                <c:pt idx="62">
                  <c:v>4.4650367365239658</c:v>
                </c:pt>
                <c:pt idx="63">
                  <c:v>4.6158427580393333</c:v>
                </c:pt>
                <c:pt idx="64">
                  <c:v>4.7689852843645753</c:v>
                </c:pt>
                <c:pt idx="65">
                  <c:v>4.92444993730237</c:v>
                </c:pt>
                <c:pt idx="66">
                  <c:v>5.0822221702743215</c:v>
                </c:pt>
                <c:pt idx="67">
                  <c:v>5.2422872738560526</c:v>
                </c:pt>
                <c:pt idx="68">
                  <c:v>5.4046303812369265</c:v>
                </c:pt>
                <c:pt idx="69">
                  <c:v>5.5692364736068809</c:v>
                </c:pt>
                <c:pt idx="70">
                  <c:v>5.7360903854725596</c:v>
                </c:pt>
                <c:pt idx="71">
                  <c:v>5.9051783570322476</c:v>
                </c:pt>
                <c:pt idx="72">
                  <c:v>6.0764895876737084</c:v>
                </c:pt>
                <c:pt idx="73">
                  <c:v>6.2500146901173643</c:v>
                </c:pt>
                <c:pt idx="74">
                  <c:v>6.4257441425280559</c:v>
                </c:pt>
                <c:pt idx="75">
                  <c:v>6.6036682919666188</c:v>
                </c:pt>
                <c:pt idx="76">
                  <c:v>6.783777357816402</c:v>
                </c:pt>
                <c:pt idx="77">
                  <c:v>6.9660614351851322</c:v>
                </c:pt>
                <c:pt idx="78">
                  <c:v>7.1505104982824435</c:v>
                </c:pt>
                <c:pt idx="79">
                  <c:v>7.3371144037732892</c:v>
                </c:pt>
                <c:pt idx="80">
                  <c:v>7.52586289410739</c:v>
                </c:pt>
                <c:pt idx="81">
                  <c:v>7.7167456008247957</c:v>
                </c:pt>
                <c:pt idx="82">
                  <c:v>7.9097520478375678</c:v>
                </c:pt>
                <c:pt idx="83">
                  <c:v>8.1048716546875461</c:v>
                </c:pt>
                <c:pt idx="84">
                  <c:v>8.3020937397801067</c:v>
                </c:pt>
                <c:pt idx="85">
                  <c:v>8.5014075235937572</c:v>
                </c:pt>
                <c:pt idx="86">
                  <c:v>8.7028021318654165</c:v>
                </c:pt>
                <c:pt idx="87">
                  <c:v>8.9062665987511291</c:v>
                </c:pt>
                <c:pt idx="88">
                  <c:v>9.1116513203264073</c:v>
                </c:pt>
                <c:pt idx="89">
                  <c:v>9.3185297312731397</c:v>
                </c:pt>
                <c:pt idx="90">
                  <c:v>9.5263378369148448</c:v>
                </c:pt>
                <c:pt idx="91">
                  <c:v>9.7346161430481004</c:v>
                </c:pt>
                <c:pt idx="92">
                  <c:v>9.9431120359641305</c:v>
                </c:pt>
                <c:pt idx="93">
                  <c:v>10.151676538979542</c:v>
                </c:pt>
                <c:pt idx="94">
                  <c:v>10.360161318605044</c:v>
                </c:pt>
                <c:pt idx="95">
                  <c:v>10.568418697409548</c:v>
                </c:pt>
                <c:pt idx="96">
                  <c:v>10.776301664225391</c:v>
                </c:pt>
                <c:pt idx="97">
                  <c:v>10.983663881741347</c:v>
                </c:pt>
                <c:pt idx="98">
                  <c:v>11.19039715630325</c:v>
                </c:pt>
                <c:pt idx="99">
                  <c:v>11.396468754293156</c:v>
                </c:pt>
                <c:pt idx="100">
                  <c:v>11.601883570937048</c:v>
                </c:pt>
                <c:pt idx="101">
                  <c:v>11.806646449754231</c:v>
                </c:pt>
                <c:pt idx="102">
                  <c:v>12.010762183289799</c:v>
                </c:pt>
                <c:pt idx="103">
                  <c:v>12.214235513834156</c:v>
                </c:pt>
                <c:pt idx="104">
                  <c:v>12.417071134129881</c:v>
                </c:pt>
                <c:pt idx="105">
                  <c:v>12.619273688066198</c:v>
                </c:pt>
                <c:pt idx="106">
                  <c:v>12.820847771361326</c:v>
                </c:pt>
                <c:pt idx="107">
                  <c:v>13.021797932232934</c:v>
                </c:pt>
                <c:pt idx="108">
                  <c:v>13.222128672056977</c:v>
                </c:pt>
                <c:pt idx="109">
                  <c:v>13.42184444601514</c:v>
                </c:pt>
                <c:pt idx="110">
                  <c:v>13.620949663731121</c:v>
                </c:pt>
                <c:pt idx="111">
                  <c:v>13.819448689896012</c:v>
                </c:pt>
                <c:pt idx="112">
                  <c:v>14.017345844882955</c:v>
                </c:pt>
                <c:pt idx="113">
                  <c:v>14.214645405351339</c:v>
                </c:pt>
                <c:pt idx="114">
                  <c:v>14.411351604840725</c:v>
                </c:pt>
                <c:pt idx="115">
                  <c:v>14.60746863435471</c:v>
                </c:pt>
                <c:pt idx="116">
                  <c:v>14.803000642934951</c:v>
                </c:pt>
                <c:pt idx="117">
                  <c:v>14.99795173822552</c:v>
                </c:pt>
                <c:pt idx="118">
                  <c:v>15.192325987027822</c:v>
                </c:pt>
                <c:pt idx="119">
                  <c:v>15.386127415846216</c:v>
                </c:pt>
                <c:pt idx="120">
                  <c:v>15.579360011424583</c:v>
                </c:pt>
                <c:pt idx="121">
                  <c:v>15.772027721273966</c:v>
                </c:pt>
                <c:pt idx="122">
                  <c:v>15.964134454191505</c:v>
                </c:pt>
                <c:pt idx="123">
                  <c:v>16.155684080770808</c:v>
                </c:pt>
                <c:pt idx="124">
                  <c:v>16.346680433903938</c:v>
                </c:pt>
                <c:pt idx="125">
                  <c:v>16.537127309275196</c:v>
                </c:pt>
                <c:pt idx="126">
                  <c:v>16.727028465846825</c:v>
                </c:pt>
                <c:pt idx="127">
                  <c:v>16.916387626336832</c:v>
                </c:pt>
                <c:pt idx="128">
                  <c:v>17.105208477689061</c:v>
                </c:pt>
                <c:pt idx="129">
                  <c:v>17.293494671535662</c:v>
                </c:pt>
                <c:pt idx="130">
                  <c:v>17.481249824652121</c:v>
                </c:pt>
                <c:pt idx="131">
                  <c:v>17.668477519404981</c:v>
                </c:pt>
                <c:pt idx="132">
                  <c:v>17.855181304192403</c:v>
                </c:pt>
                <c:pt idx="133">
                  <c:v>18.041364693877696</c:v>
                </c:pt>
                <c:pt idx="134">
                  <c:v>18.227031170215959</c:v>
                </c:pt>
                <c:pt idx="135">
                  <c:v>18.41218418227395</c:v>
                </c:pt>
                <c:pt idx="136">
                  <c:v>18.596827146843349</c:v>
                </c:pt>
                <c:pt idx="137">
                  <c:v>18.780963448847483</c:v>
                </c:pt>
                <c:pt idx="138">
                  <c:v>18.964596441741683</c:v>
                </c:pt>
                <c:pt idx="139">
                  <c:v>19.147729447907377</c:v>
                </c:pt>
                <c:pt idx="140">
                  <c:v>19.330365759040035</c:v>
                </c:pt>
                <c:pt idx="141">
                  <c:v>19.512508636531074</c:v>
                </c:pt>
                <c:pt idx="142">
                  <c:v>19.694161311843857</c:v>
                </c:pt>
                <c:pt idx="143">
                  <c:v>19.875326986883877</c:v>
                </c:pt>
                <c:pt idx="144">
                  <c:v>20.056008834363226</c:v>
                </c:pt>
                <c:pt idx="145">
                  <c:v>20.236209998159495</c:v>
                </c:pt>
                <c:pt idx="146">
                  <c:v>20.415933593669152</c:v>
                </c:pt>
                <c:pt idx="147">
                  <c:v>20.595182708155541</c:v>
                </c:pt>
                <c:pt idx="148">
                  <c:v>20.773960401091593</c:v>
                </c:pt>
                <c:pt idx="149">
                  <c:v>20.952269704497326</c:v>
                </c:pt>
                <c:pt idx="150">
                  <c:v>21.130113623272244</c:v>
                </c:pt>
                <c:pt idx="151">
                  <c:v>21.307495135522732</c:v>
                </c:pt>
                <c:pt idx="152">
                  <c:v>21.484417192884528</c:v>
                </c:pt>
                <c:pt idx="153">
                  <c:v>21.660882720840359</c:v>
                </c:pt>
                <c:pt idx="154">
                  <c:v>21.83689461903284</c:v>
                </c:pt>
                <c:pt idx="155">
                  <c:v>22.012455761572703</c:v>
                </c:pt>
                <c:pt idx="156">
                  <c:v>22.187568997342456</c:v>
                </c:pt>
                <c:pt idx="157">
                  <c:v>22.362237150295552</c:v>
                </c:pt>
                <c:pt idx="158">
                  <c:v>22.536463019751128</c:v>
                </c:pt>
                <c:pt idx="159">
                  <c:v>22.71024938068442</c:v>
                </c:pt>
                <c:pt idx="160">
                  <c:v>22.883598984012906</c:v>
                </c:pt>
                <c:pt idx="161">
                  <c:v>23.056514556878273</c:v>
                </c:pt>
                <c:pt idx="162">
                  <c:v>23.228998802924266</c:v>
                </c:pt>
                <c:pt idx="163">
                  <c:v>23.401054402570498</c:v>
                </c:pt>
                <c:pt idx="164">
                  <c:v>23.572684013282288</c:v>
                </c:pt>
                <c:pt idx="165">
                  <c:v>23.743890269836601</c:v>
                </c:pt>
                <c:pt idx="166">
                  <c:v>23.914675784584151</c:v>
                </c:pt>
                <c:pt idx="167">
                  <c:v>24.08504314770774</c:v>
                </c:pt>
                <c:pt idx="168">
                  <c:v>24.254994927476886</c:v>
                </c:pt>
                <c:pt idx="169">
                  <c:v>24.424533670498825</c:v>
                </c:pt>
                <c:pt idx="170">
                  <c:v>24.593661901965934</c:v>
                </c:pt>
                <c:pt idx="171">
                  <c:v>24.76238212589962</c:v>
                </c:pt>
                <c:pt idx="172">
                  <c:v>24.930696825390786</c:v>
                </c:pt>
                <c:pt idx="173">
                  <c:v>25.098608462836872</c:v>
                </c:pt>
                <c:pt idx="174">
                  <c:v>25.266119480175568</c:v>
                </c:pt>
                <c:pt idx="175">
                  <c:v>25.433232299115243</c:v>
                </c:pt>
                <c:pt idx="176">
                  <c:v>25.59994932136215</c:v>
                </c:pt>
                <c:pt idx="177">
                  <c:v>25.766272928844455</c:v>
                </c:pt>
                <c:pt idx="178">
                  <c:v>25.932205483933135</c:v>
                </c:pt>
                <c:pt idx="179">
                  <c:v>26.09774932965983</c:v>
                </c:pt>
                <c:pt idx="180">
                  <c:v>26.262906789931659</c:v>
                </c:pt>
                <c:pt idx="181">
                  <c:v>26.42768016974307</c:v>
                </c:pt>
                <c:pt idx="182">
                  <c:v>26.592071755384794</c:v>
                </c:pt>
                <c:pt idx="183">
                  <c:v>26.756083814649894</c:v>
                </c:pt>
                <c:pt idx="184">
                  <c:v>26.919718597037029</c:v>
                </c:pt>
                <c:pt idx="185">
                  <c:v>27.082978333950905</c:v>
                </c:pt>
                <c:pt idx="186">
                  <c:v>27.245865238900024</c:v>
                </c:pt>
                <c:pt idx="187">
                  <c:v>27.40838150769174</c:v>
                </c:pt>
                <c:pt idx="188">
                  <c:v>27.570529318624658</c:v>
                </c:pt>
                <c:pt idx="189">
                  <c:v>27.732310832678458</c:v>
                </c:pt>
                <c:pt idx="190">
                  <c:v>27.893728193701136</c:v>
                </c:pt>
                <c:pt idx="191">
                  <c:v>28.054783528593756</c:v>
                </c:pt>
                <c:pt idx="192">
                  <c:v>28.215478947492699</c:v>
                </c:pt>
                <c:pt idx="193">
                  <c:v>28.375816543949494</c:v>
                </c:pt>
                <c:pt idx="194">
                  <c:v>28.535798395108259</c:v>
                </c:pt>
                <c:pt idx="195">
                  <c:v>28.695426561880751</c:v>
                </c:pt>
                <c:pt idx="196">
                  <c:v>28.854703089119141</c:v>
                </c:pt>
                <c:pt idx="197">
                  <c:v>29.013630005786464</c:v>
                </c:pt>
                <c:pt idx="198">
                  <c:v>29.172209325124847</c:v>
                </c:pt>
                <c:pt idx="199">
                  <c:v>29.330443044821511</c:v>
                </c:pt>
                <c:pt idx="200">
                  <c:v>29.488333147172604</c:v>
                </c:pt>
                <c:pt idx="201">
                  <c:v>31.04848749392449</c:v>
                </c:pt>
                <c:pt idx="202">
                  <c:v>32.57553464373288</c:v>
                </c:pt>
                <c:pt idx="203">
                  <c:v>34.071323259252196</c:v>
                </c:pt>
                <c:pt idx="204">
                  <c:v>35.537566963385679</c:v>
                </c:pt>
                <c:pt idx="205">
                  <c:v>36.975857604620757</c:v>
                </c:pt>
                <c:pt idx="206">
                  <c:v>38.387676933981773</c:v>
                </c:pt>
                <c:pt idx="207">
                  <c:v>39.774406917533284</c:v>
                </c:pt>
                <c:pt idx="208">
                  <c:v>41.137338872212709</c:v>
                </c:pt>
                <c:pt idx="209">
                  <c:v>42.477681583148744</c:v>
                </c:pt>
                <c:pt idx="210">
                  <c:v>43.796568536228769</c:v>
                </c:pt>
                <c:pt idx="211">
                  <c:v>45.095064379494247</c:v>
                </c:pt>
                <c:pt idx="212">
                  <c:v>46.374170710163888</c:v>
                </c:pt>
                <c:pt idx="213">
                  <c:v>47.634831270073775</c:v>
                </c:pt>
                <c:pt idx="214">
                  <c:v>48.877936620574225</c:v>
                </c:pt>
                <c:pt idx="215">
                  <c:v>50.10432835802861</c:v>
                </c:pt>
                <c:pt idx="216">
                  <c:v>51.314802922692394</c:v>
                </c:pt>
                <c:pt idx="217">
                  <c:v>52.510115046646142</c:v>
                </c:pt>
                <c:pt idx="218">
                  <c:v>53.690980880398854</c:v>
                </c:pt>
                <c:pt idx="219">
                  <c:v>54.858080832591099</c:v>
                </c:pt>
                <c:pt idx="220">
                  <c:v>56.012062152765623</c:v>
                </c:pt>
                <c:pt idx="221">
                  <c:v>57.153541283316727</c:v>
                </c:pt>
                <c:pt idx="222">
                  <c:v>58.283106003377632</c:v>
                </c:pt>
                <c:pt idx="223">
                  <c:v>59.401317384473629</c:v>
                </c:pt>
                <c:pt idx="224">
                  <c:v>60.508711575185956</c:v>
                </c:pt>
                <c:pt idx="225">
                  <c:v>61.60580142977517</c:v>
                </c:pt>
                <c:pt idx="226">
                  <c:v>62.693077993649538</c:v>
                </c:pt>
                <c:pt idx="227">
                  <c:v>63.771011856685185</c:v>
                </c:pt>
                <c:pt idx="228">
                  <c:v>64.840054383665802</c:v>
                </c:pt>
                <c:pt idx="229">
                  <c:v>65.900638829469585</c:v>
                </c:pt>
                <c:pt idx="230">
                  <c:v>66.953181345047909</c:v>
                </c:pt>
                <c:pt idx="231">
                  <c:v>67.998081878674327</c:v>
                </c:pt>
                <c:pt idx="232">
                  <c:v>69.035724975350078</c:v>
                </c:pt>
                <c:pt idx="233">
                  <c:v>70.066480475589657</c:v>
                </c:pt>
                <c:pt idx="234">
                  <c:v>71.090704113029005</c:v>
                </c:pt>
                <c:pt idx="235">
                  <c:v>72.108738008348979</c:v>
                </c:pt>
                <c:pt idx="236">
                  <c:v>73.120911054839269</c:v>
                </c:pt>
                <c:pt idx="237">
                  <c:v>74.127539188496158</c:v>
                </c:pt>
                <c:pt idx="238">
                  <c:v>75.128925532824852</c:v>
                </c:pt>
                <c:pt idx="239">
                  <c:v>76.125360405512041</c:v>
                </c:pt>
                <c:pt idx="240">
                  <c:v>77.117121170930204</c:v>
                </c:pt>
                <c:pt idx="241">
                  <c:v>78.104471919251921</c:v>
                </c:pt>
                <c:pt idx="242">
                  <c:v>79.087662950238965</c:v>
                </c:pt>
                <c:pt idx="243">
                  <c:v>80.066930038349838</c:v>
                </c:pt>
                <c:pt idx="244">
                  <c:v>81.042493457049744</c:v>
                </c:pt>
                <c:pt idx="245">
                  <c:v>82.01455674619838</c:v>
                </c:pt>
                <c:pt idx="246">
                  <c:v>82.983305219986406</c:v>
                </c:pt>
                <c:pt idx="247">
                  <c:v>83.948904237347577</c:v>
                </c:pt>
                <c:pt idx="248">
                  <c:v>84.911497294601872</c:v>
                </c:pt>
                <c:pt idx="249">
                  <c:v>85.871204050734647</c:v>
                </c:pt>
                <c:pt idx="250">
                  <c:v>86.828118452377439</c:v>
                </c:pt>
                <c:pt idx="251">
                  <c:v>87.78230717283499</c:v>
                </c:pt>
                <c:pt idx="252">
                  <c:v>88.73380859540184</c:v>
                </c:pt>
                <c:pt idx="253">
                  <c:v>89.682632536190738</c:v>
                </c:pt>
                <c:pt idx="254">
                  <c:v>90.628760812263451</c:v>
                </c:pt>
                <c:pt idx="255">
                  <c:v>91.5721486378729</c:v>
                </c:pt>
                <c:pt idx="256">
                  <c:v>92.512726713484838</c:v>
                </c:pt>
                <c:pt idx="257">
                  <c:v>93.45040379497209</c:v>
                </c:pt>
                <c:pt idx="258">
                  <c:v>94.385069509443383</c:v>
                </c:pt>
                <c:pt idx="259">
                  <c:v>95.316597211195202</c:v>
                </c:pt>
                <c:pt idx="260">
                  <c:v>96.244846724568077</c:v>
                </c:pt>
                <c:pt idx="261">
                  <c:v>97.169666878545655</c:v>
                </c:pt>
                <c:pt idx="262">
                  <c:v>98.090897787099223</c:v>
                </c:pt>
                <c:pt idx="263">
                  <c:v>99.008372864453619</c:v>
                </c:pt>
                <c:pt idx="264">
                  <c:v>99.921920586209097</c:v>
                </c:pt>
                <c:pt idx="265">
                  <c:v>100.83136601864129</c:v>
                </c:pt>
                <c:pt idx="266">
                  <c:v>101.73653214291689</c:v>
                </c:pt>
                <c:pt idx="267">
                  <c:v>102.6372410012043</c:v>
                </c:pt>
                <c:pt idx="268">
                  <c:v>103.53331468969751</c:v>
                </c:pt>
                <c:pt idx="269">
                  <c:v>104.42457622065822</c:v>
                </c:pt>
                <c:pt idx="270">
                  <c:v>105.31085027244065</c:v>
                </c:pt>
                <c:pt idx="271">
                  <c:v>106.19196384347455</c:v>
                </c:pt>
                <c:pt idx="272">
                  <c:v>107.06774682351917</c:v>
                </c:pt>
                <c:pt idx="273">
                  <c:v>107.93803249321601</c:v>
                </c:pt>
                <c:pt idx="274">
                  <c:v>108.80265796105682</c:v>
                </c:pt>
                <c:pt idx="275">
                  <c:v>109.66146454530747</c:v>
                </c:pt>
                <c:pt idx="276">
                  <c:v>110.51429810714394</c:v>
                </c:pt>
                <c:pt idx="277">
                  <c:v>111.36100934021661</c:v>
                </c:pt>
                <c:pt idx="278">
                  <c:v>112.20145402101986</c:v>
                </c:pt>
                <c:pt idx="279">
                  <c:v>113.03549322377025</c:v>
                </c:pt>
                <c:pt idx="280">
                  <c:v>113.86299350295481</c:v>
                </c:pt>
                <c:pt idx="281">
                  <c:v>114.68382704627641</c:v>
                </c:pt>
                <c:pt idx="282">
                  <c:v>115.49787180037454</c:v>
                </c:pt>
                <c:pt idx="283">
                  <c:v>116.30501157141917</c:v>
                </c:pt>
                <c:pt idx="284">
                  <c:v>117.10513610244914</c:v>
                </c:pt>
                <c:pt idx="285">
                  <c:v>117.89814112914397</c:v>
                </c:pt>
                <c:pt idx="286">
                  <c:v>118.68392841556918</c:v>
                </c:pt>
                <c:pt idx="287">
                  <c:v>119.46240577131387</c:v>
                </c:pt>
                <c:pt idx="288">
                  <c:v>120.23348705133863</c:v>
                </c:pt>
                <c:pt idx="289">
                  <c:v>120.99709213976887</c:v>
                </c:pt>
                <c:pt idx="290">
                  <c:v>121.7531469187975</c:v>
                </c:pt>
                <c:pt idx="291">
                  <c:v>122.50158322380052</c:v>
                </c:pt>
                <c:pt idx="292">
                  <c:v>123.24233878571626</c:v>
                </c:pt>
                <c:pt idx="293">
                  <c:v>123.9753571616916</c:v>
                </c:pt>
                <c:pt idx="294">
                  <c:v>124.70058765495646</c:v>
                </c:pt>
                <c:pt idx="295">
                  <c:v>125.41798522484753</c:v>
                </c:pt>
                <c:pt idx="296">
                  <c:v>126.12751038786602</c:v>
                </c:pt>
                <c:pt idx="297">
                  <c:v>126.8291291106182</c:v>
                </c:pt>
                <c:pt idx="298">
                  <c:v>127.52281269545327</c:v>
                </c:pt>
                <c:pt idx="299">
                  <c:v>128.20853765958009</c:v>
                </c:pt>
                <c:pt idx="300">
                  <c:v>128.88628560841073</c:v>
                </c:pt>
                <c:pt idx="301">
                  <c:v>129.55604310384658</c:v>
                </c:pt>
                <c:pt idx="302">
                  <c:v>130.21780152819008</c:v>
                </c:pt>
                <c:pt idx="303">
                  <c:v>130.87155694433329</c:v>
                </c:pt>
                <c:pt idx="304">
                  <c:v>131.51730995284191</c:v>
                </c:pt>
                <c:pt idx="305">
                  <c:v>132.15506554652171</c:v>
                </c:pt>
                <c:pt idx="306">
                  <c:v>132.78483296302267</c:v>
                </c:pt>
                <c:pt idx="307">
                  <c:v>133.40662553600441</c:v>
                </c:pt>
                <c:pt idx="308">
                  <c:v>134.02046054535552</c:v>
                </c:pt>
                <c:pt idx="309">
                  <c:v>134.62635906692876</c:v>
                </c:pt>
                <c:pt idx="310">
                  <c:v>135.22434582222334</c:v>
                </c:pt>
                <c:pt idx="311">
                  <c:v>135.81444902841665</c:v>
                </c:pt>
                <c:pt idx="312">
                  <c:v>136.39670024911769</c:v>
                </c:pt>
                <c:pt idx="313">
                  <c:v>136.97113424618701</c:v>
                </c:pt>
                <c:pt idx="314">
                  <c:v>137.53778883293995</c:v>
                </c:pt>
                <c:pt idx="315">
                  <c:v>138.09670472902309</c:v>
                </c:pt>
                <c:pt idx="316">
                  <c:v>138.64792541722832</c:v>
                </c:pt>
                <c:pt idx="317">
                  <c:v>139.19149700248391</c:v>
                </c:pt>
                <c:pt idx="318">
                  <c:v>139.72746807323767</c:v>
                </c:pt>
                <c:pt idx="319">
                  <c:v>140.25588956542478</c:v>
                </c:pt>
                <c:pt idx="320">
                  <c:v>140.77681462919094</c:v>
                </c:pt>
                <c:pt idx="321">
                  <c:v>141.29029849852014</c:v>
                </c:pt>
                <c:pt idx="322">
                  <c:v>141.79639836389723</c:v>
                </c:pt>
                <c:pt idx="323">
                  <c:v>142.29517324811601</c:v>
                </c:pt>
                <c:pt idx="324">
                  <c:v>142.78668388532674</c:v>
                </c:pt>
                <c:pt idx="325">
                  <c:v>143.27099260339915</c:v>
                </c:pt>
                <c:pt idx="326">
                  <c:v>143.74816320966289</c:v>
                </c:pt>
                <c:pt idx="327">
                  <c:v>144.21826088007137</c:v>
                </c:pt>
                <c:pt idx="328">
                  <c:v>144.68135205182233</c:v>
                </c:pt>
                <c:pt idx="329">
                  <c:v>145.13750431945556</c:v>
                </c:pt>
                <c:pt idx="330">
                  <c:v>145.58678633443645</c:v>
                </c:pt>
                <c:pt idx="331">
                  <c:v>146.02926770822333</c:v>
                </c:pt>
                <c:pt idx="332">
                  <c:v>146.46501891880703</c:v>
                </c:pt>
                <c:pt idx="333">
                  <c:v>146.89411122070152</c:v>
                </c:pt>
                <c:pt idx="334">
                  <c:v>147.31661655835691</c:v>
                </c:pt>
                <c:pt idx="335">
                  <c:v>147.73260748295814</c:v>
                </c:pt>
                <c:pt idx="336">
                  <c:v>148.14215707256645</c:v>
                </c:pt>
                <c:pt idx="337">
                  <c:v>148.54533885555432</c:v>
                </c:pt>
                <c:pt idx="338">
                  <c:v>148.94222673727998</c:v>
                </c:pt>
                <c:pt idx="339">
                  <c:v>149.33289492994172</c:v>
                </c:pt>
                <c:pt idx="340">
                  <c:v>149.71741788554954</c:v>
                </c:pt>
                <c:pt idx="341">
                  <c:v>150.09587023194715</c:v>
                </c:pt>
                <c:pt idx="342">
                  <c:v>150.09587023194715</c:v>
                </c:pt>
                <c:pt idx="343">
                  <c:v>150.09587023194715</c:v>
                </c:pt>
                <c:pt idx="344">
                  <c:v>150.09587023194715</c:v>
                </c:pt>
                <c:pt idx="345">
                  <c:v>150.09587023194715</c:v>
                </c:pt>
                <c:pt idx="346">
                  <c:v>150.09587023194715</c:v>
                </c:pt>
                <c:pt idx="347">
                  <c:v>150.09587023194715</c:v>
                </c:pt>
                <c:pt idx="348">
                  <c:v>150.09587023194715</c:v>
                </c:pt>
                <c:pt idx="349">
                  <c:v>150.09587023194715</c:v>
                </c:pt>
                <c:pt idx="350">
                  <c:v>150.09587023194715</c:v>
                </c:pt>
                <c:pt idx="351">
                  <c:v>150.09587023194715</c:v>
                </c:pt>
                <c:pt idx="352">
                  <c:v>150.09587023194715</c:v>
                </c:pt>
                <c:pt idx="353">
                  <c:v>150.09587023194715</c:v>
                </c:pt>
                <c:pt idx="354">
                  <c:v>150.09587023194715</c:v>
                </c:pt>
                <c:pt idx="355">
                  <c:v>150.09587023194715</c:v>
                </c:pt>
                <c:pt idx="356">
                  <c:v>150.09587023194715</c:v>
                </c:pt>
                <c:pt idx="357">
                  <c:v>150.09587023194715</c:v>
                </c:pt>
                <c:pt idx="358">
                  <c:v>150.09587023194715</c:v>
                </c:pt>
                <c:pt idx="359">
                  <c:v>150.09587023194715</c:v>
                </c:pt>
                <c:pt idx="360">
                  <c:v>150.09587023194715</c:v>
                </c:pt>
                <c:pt idx="361">
                  <c:v>150.09587023194715</c:v>
                </c:pt>
                <c:pt idx="362">
                  <c:v>150.09587023194715</c:v>
                </c:pt>
                <c:pt idx="363">
                  <c:v>150.09587023194715</c:v>
                </c:pt>
                <c:pt idx="364">
                  <c:v>150.09587023194715</c:v>
                </c:pt>
                <c:pt idx="365">
                  <c:v>150.09587023194715</c:v>
                </c:pt>
                <c:pt idx="366">
                  <c:v>150.09587023194715</c:v>
                </c:pt>
                <c:pt idx="367">
                  <c:v>150.09587023194715</c:v>
                </c:pt>
                <c:pt idx="368">
                  <c:v>150.09587023194715</c:v>
                </c:pt>
                <c:pt idx="369">
                  <c:v>150.09587023194715</c:v>
                </c:pt>
                <c:pt idx="370">
                  <c:v>150.09587023194715</c:v>
                </c:pt>
                <c:pt idx="371">
                  <c:v>150.09587023194715</c:v>
                </c:pt>
                <c:pt idx="372">
                  <c:v>150.09587023194715</c:v>
                </c:pt>
                <c:pt idx="373">
                  <c:v>150.09587023194715</c:v>
                </c:pt>
                <c:pt idx="374">
                  <c:v>150.09587023194715</c:v>
                </c:pt>
                <c:pt idx="375">
                  <c:v>150.09587023194715</c:v>
                </c:pt>
                <c:pt idx="376">
                  <c:v>150.09587023194715</c:v>
                </c:pt>
                <c:pt idx="377">
                  <c:v>150.09587023194715</c:v>
                </c:pt>
                <c:pt idx="378">
                  <c:v>150.09587023194715</c:v>
                </c:pt>
                <c:pt idx="379">
                  <c:v>150.09587023194715</c:v>
                </c:pt>
                <c:pt idx="380">
                  <c:v>150.09587023194715</c:v>
                </c:pt>
                <c:pt idx="381">
                  <c:v>150.09587023194715</c:v>
                </c:pt>
                <c:pt idx="382">
                  <c:v>150.09587023194715</c:v>
                </c:pt>
                <c:pt idx="383">
                  <c:v>150.09587023194715</c:v>
                </c:pt>
                <c:pt idx="384">
                  <c:v>150.09587023194715</c:v>
                </c:pt>
                <c:pt idx="385">
                  <c:v>150.09587023194715</c:v>
                </c:pt>
                <c:pt idx="386">
                  <c:v>150.09587023194715</c:v>
                </c:pt>
                <c:pt idx="387">
                  <c:v>150.09587023194715</c:v>
                </c:pt>
                <c:pt idx="388">
                  <c:v>150.09587023194715</c:v>
                </c:pt>
                <c:pt idx="389">
                  <c:v>150.09587023194715</c:v>
                </c:pt>
                <c:pt idx="390">
                  <c:v>150.09587023194715</c:v>
                </c:pt>
                <c:pt idx="391">
                  <c:v>150.09587023194715</c:v>
                </c:pt>
                <c:pt idx="392">
                  <c:v>150.09587023194715</c:v>
                </c:pt>
                <c:pt idx="393">
                  <c:v>150.09587023194715</c:v>
                </c:pt>
                <c:pt idx="394">
                  <c:v>150.09587023194715</c:v>
                </c:pt>
                <c:pt idx="395">
                  <c:v>150.09587023194715</c:v>
                </c:pt>
                <c:pt idx="396">
                  <c:v>150.09587023194715</c:v>
                </c:pt>
                <c:pt idx="397">
                  <c:v>150.09587023194715</c:v>
                </c:pt>
                <c:pt idx="398">
                  <c:v>150.09587023194715</c:v>
                </c:pt>
                <c:pt idx="399">
                  <c:v>150.09587023194715</c:v>
                </c:pt>
                <c:pt idx="400">
                  <c:v>150.09587023194715</c:v>
                </c:pt>
                <c:pt idx="401">
                  <c:v>150.09587023194715</c:v>
                </c:pt>
                <c:pt idx="402">
                  <c:v>150.09587023194715</c:v>
                </c:pt>
                <c:pt idx="403">
                  <c:v>150.09587023194715</c:v>
                </c:pt>
                <c:pt idx="404">
                  <c:v>150.09587023194715</c:v>
                </c:pt>
                <c:pt idx="405">
                  <c:v>150.09587023194715</c:v>
                </c:pt>
                <c:pt idx="406">
                  <c:v>150.09587023194715</c:v>
                </c:pt>
                <c:pt idx="407">
                  <c:v>150.09587023194715</c:v>
                </c:pt>
                <c:pt idx="408">
                  <c:v>150.09587023194715</c:v>
                </c:pt>
                <c:pt idx="409">
                  <c:v>150.09587023194715</c:v>
                </c:pt>
                <c:pt idx="410">
                  <c:v>150.09587023194715</c:v>
                </c:pt>
                <c:pt idx="411">
                  <c:v>150.09587023194715</c:v>
                </c:pt>
                <c:pt idx="412">
                  <c:v>150.09587023194715</c:v>
                </c:pt>
                <c:pt idx="413">
                  <c:v>150.09587023194715</c:v>
                </c:pt>
                <c:pt idx="414">
                  <c:v>150.09587023194715</c:v>
                </c:pt>
                <c:pt idx="415">
                  <c:v>150.09587023194715</c:v>
                </c:pt>
                <c:pt idx="416">
                  <c:v>150.09587023194715</c:v>
                </c:pt>
                <c:pt idx="417">
                  <c:v>150.09587023194715</c:v>
                </c:pt>
                <c:pt idx="418">
                  <c:v>150.09587023194715</c:v>
                </c:pt>
                <c:pt idx="419">
                  <c:v>150.09587023194715</c:v>
                </c:pt>
                <c:pt idx="420">
                  <c:v>150.09587023194715</c:v>
                </c:pt>
                <c:pt idx="421">
                  <c:v>150.09587023194715</c:v>
                </c:pt>
                <c:pt idx="422">
                  <c:v>150.09587023194715</c:v>
                </c:pt>
                <c:pt idx="423">
                  <c:v>150.09587023194715</c:v>
                </c:pt>
                <c:pt idx="424">
                  <c:v>150.09587023194715</c:v>
                </c:pt>
                <c:pt idx="425">
                  <c:v>150.09587023194715</c:v>
                </c:pt>
                <c:pt idx="426">
                  <c:v>150.09587023194715</c:v>
                </c:pt>
                <c:pt idx="427">
                  <c:v>150.09587023194715</c:v>
                </c:pt>
                <c:pt idx="428">
                  <c:v>150.09587023194715</c:v>
                </c:pt>
                <c:pt idx="429">
                  <c:v>150.09587023194715</c:v>
                </c:pt>
                <c:pt idx="430">
                  <c:v>150.09587023194715</c:v>
                </c:pt>
                <c:pt idx="431">
                  <c:v>150.09587023194715</c:v>
                </c:pt>
                <c:pt idx="432">
                  <c:v>150.09587023194715</c:v>
                </c:pt>
                <c:pt idx="433">
                  <c:v>150.09587023194715</c:v>
                </c:pt>
                <c:pt idx="434">
                  <c:v>150.09587023194715</c:v>
                </c:pt>
                <c:pt idx="435">
                  <c:v>150.09587023194715</c:v>
                </c:pt>
                <c:pt idx="436">
                  <c:v>150.09587023194715</c:v>
                </c:pt>
                <c:pt idx="437">
                  <c:v>150.09587023194715</c:v>
                </c:pt>
                <c:pt idx="438">
                  <c:v>150.09587023194715</c:v>
                </c:pt>
                <c:pt idx="439">
                  <c:v>150.09587023194715</c:v>
                </c:pt>
                <c:pt idx="440">
                  <c:v>150.09587023194715</c:v>
                </c:pt>
                <c:pt idx="441">
                  <c:v>150.09587023194715</c:v>
                </c:pt>
                <c:pt idx="442">
                  <c:v>150.09587023194715</c:v>
                </c:pt>
                <c:pt idx="443">
                  <c:v>150.09587023194715</c:v>
                </c:pt>
                <c:pt idx="444">
                  <c:v>150.09587023194715</c:v>
                </c:pt>
                <c:pt idx="445">
                  <c:v>150.09587023194715</c:v>
                </c:pt>
                <c:pt idx="446">
                  <c:v>150.09587023194715</c:v>
                </c:pt>
                <c:pt idx="447">
                  <c:v>150.09587023194715</c:v>
                </c:pt>
                <c:pt idx="448">
                  <c:v>150.09587023194715</c:v>
                </c:pt>
                <c:pt idx="449">
                  <c:v>150.09587023194715</c:v>
                </c:pt>
                <c:pt idx="450">
                  <c:v>150.09587023194715</c:v>
                </c:pt>
                <c:pt idx="451">
                  <c:v>150.09587023194715</c:v>
                </c:pt>
                <c:pt idx="452">
                  <c:v>150.09587023194715</c:v>
                </c:pt>
                <c:pt idx="453">
                  <c:v>150.09587023194715</c:v>
                </c:pt>
                <c:pt idx="454">
                  <c:v>150.09587023194715</c:v>
                </c:pt>
                <c:pt idx="455">
                  <c:v>150.09587023194715</c:v>
                </c:pt>
                <c:pt idx="456">
                  <c:v>150.09587023194715</c:v>
                </c:pt>
                <c:pt idx="457">
                  <c:v>150.09587023194715</c:v>
                </c:pt>
                <c:pt idx="458">
                  <c:v>150.09587023194715</c:v>
                </c:pt>
                <c:pt idx="459">
                  <c:v>150.09587023194715</c:v>
                </c:pt>
                <c:pt idx="460">
                  <c:v>150.09587023194715</c:v>
                </c:pt>
                <c:pt idx="461">
                  <c:v>150.09587023194715</c:v>
                </c:pt>
                <c:pt idx="462">
                  <c:v>150.09587023194715</c:v>
                </c:pt>
                <c:pt idx="463">
                  <c:v>150.09587023194715</c:v>
                </c:pt>
                <c:pt idx="464">
                  <c:v>150.09587023194715</c:v>
                </c:pt>
                <c:pt idx="465">
                  <c:v>150.09587023194715</c:v>
                </c:pt>
                <c:pt idx="466">
                  <c:v>150.09587023194715</c:v>
                </c:pt>
                <c:pt idx="467">
                  <c:v>150.09587023194715</c:v>
                </c:pt>
                <c:pt idx="468">
                  <c:v>150.09587023194715</c:v>
                </c:pt>
                <c:pt idx="469">
                  <c:v>150.09587023194715</c:v>
                </c:pt>
                <c:pt idx="470">
                  <c:v>150.09587023194715</c:v>
                </c:pt>
                <c:pt idx="471">
                  <c:v>150.09587023194715</c:v>
                </c:pt>
                <c:pt idx="472">
                  <c:v>150.09587023194715</c:v>
                </c:pt>
                <c:pt idx="473">
                  <c:v>150.09587023194715</c:v>
                </c:pt>
                <c:pt idx="474">
                  <c:v>150.09587023194715</c:v>
                </c:pt>
                <c:pt idx="475">
                  <c:v>150.09587023194715</c:v>
                </c:pt>
                <c:pt idx="476">
                  <c:v>150.09587023194715</c:v>
                </c:pt>
                <c:pt idx="477">
                  <c:v>150.09587023194715</c:v>
                </c:pt>
                <c:pt idx="478">
                  <c:v>150.09587023194715</c:v>
                </c:pt>
                <c:pt idx="479">
                  <c:v>150.09587023194715</c:v>
                </c:pt>
                <c:pt idx="480">
                  <c:v>150.09587023194715</c:v>
                </c:pt>
                <c:pt idx="481">
                  <c:v>150.09587023194715</c:v>
                </c:pt>
                <c:pt idx="482">
                  <c:v>150.09587023194715</c:v>
                </c:pt>
                <c:pt idx="483">
                  <c:v>150.09587023194715</c:v>
                </c:pt>
                <c:pt idx="484">
                  <c:v>150.09587023194715</c:v>
                </c:pt>
                <c:pt idx="485">
                  <c:v>150.09587023194715</c:v>
                </c:pt>
                <c:pt idx="486">
                  <c:v>150.09587023194715</c:v>
                </c:pt>
                <c:pt idx="487">
                  <c:v>150.09587023194715</c:v>
                </c:pt>
                <c:pt idx="488">
                  <c:v>150.09587023194715</c:v>
                </c:pt>
                <c:pt idx="489">
                  <c:v>150.09587023194715</c:v>
                </c:pt>
                <c:pt idx="490">
                  <c:v>150.09587023194715</c:v>
                </c:pt>
                <c:pt idx="491">
                  <c:v>150.09587023194715</c:v>
                </c:pt>
                <c:pt idx="492">
                  <c:v>150.09587023194715</c:v>
                </c:pt>
                <c:pt idx="493">
                  <c:v>150.09587023194715</c:v>
                </c:pt>
                <c:pt idx="494">
                  <c:v>150.09587023194715</c:v>
                </c:pt>
                <c:pt idx="495">
                  <c:v>150.09587023194715</c:v>
                </c:pt>
                <c:pt idx="496">
                  <c:v>150.09587023194715</c:v>
                </c:pt>
                <c:pt idx="497">
                  <c:v>150.09587023194715</c:v>
                </c:pt>
                <c:pt idx="498">
                  <c:v>150.09587023194715</c:v>
                </c:pt>
                <c:pt idx="499">
                  <c:v>150.09587023194715</c:v>
                </c:pt>
                <c:pt idx="500">
                  <c:v>150.09587023194715</c:v>
                </c:pt>
                <c:pt idx="501">
                  <c:v>150.09587023194715</c:v>
                </c:pt>
                <c:pt idx="502">
                  <c:v>150.09587023194715</c:v>
                </c:pt>
                <c:pt idx="503">
                  <c:v>150.09587023194715</c:v>
                </c:pt>
                <c:pt idx="504">
                  <c:v>150.09587023194715</c:v>
                </c:pt>
                <c:pt idx="505">
                  <c:v>150.09587023194715</c:v>
                </c:pt>
                <c:pt idx="506">
                  <c:v>150.09587023194715</c:v>
                </c:pt>
                <c:pt idx="507">
                  <c:v>150.09587023194715</c:v>
                </c:pt>
                <c:pt idx="508">
                  <c:v>150.09587023194715</c:v>
                </c:pt>
                <c:pt idx="509">
                  <c:v>150.09587023194715</c:v>
                </c:pt>
                <c:pt idx="510">
                  <c:v>150.09587023194715</c:v>
                </c:pt>
                <c:pt idx="511">
                  <c:v>150.09587023194715</c:v>
                </c:pt>
                <c:pt idx="512">
                  <c:v>150.09587023194715</c:v>
                </c:pt>
                <c:pt idx="513">
                  <c:v>150.09587023194715</c:v>
                </c:pt>
                <c:pt idx="514">
                  <c:v>150.09587023194715</c:v>
                </c:pt>
                <c:pt idx="515">
                  <c:v>150.09587023194715</c:v>
                </c:pt>
                <c:pt idx="516">
                  <c:v>150.09587023194715</c:v>
                </c:pt>
                <c:pt idx="517">
                  <c:v>150.09587023194715</c:v>
                </c:pt>
                <c:pt idx="518">
                  <c:v>150.09587023194715</c:v>
                </c:pt>
                <c:pt idx="519">
                  <c:v>150.09587023194715</c:v>
                </c:pt>
                <c:pt idx="520">
                  <c:v>150.09587023194715</c:v>
                </c:pt>
                <c:pt idx="521">
                  <c:v>150.09587023194715</c:v>
                </c:pt>
                <c:pt idx="522">
                  <c:v>150.09587023194715</c:v>
                </c:pt>
                <c:pt idx="523">
                  <c:v>150.09587023194715</c:v>
                </c:pt>
                <c:pt idx="524">
                  <c:v>150.09587023194715</c:v>
                </c:pt>
                <c:pt idx="525">
                  <c:v>150.09587023194715</c:v>
                </c:pt>
                <c:pt idx="526">
                  <c:v>150.09587023194715</c:v>
                </c:pt>
                <c:pt idx="527">
                  <c:v>150.09587023194715</c:v>
                </c:pt>
                <c:pt idx="528">
                  <c:v>150.09587023194715</c:v>
                </c:pt>
                <c:pt idx="529">
                  <c:v>150.09587023194715</c:v>
                </c:pt>
                <c:pt idx="530">
                  <c:v>150.09587023194715</c:v>
                </c:pt>
                <c:pt idx="531">
                  <c:v>150.09587023194715</c:v>
                </c:pt>
                <c:pt idx="532">
                  <c:v>150.09587023194715</c:v>
                </c:pt>
                <c:pt idx="533">
                  <c:v>150.09587023194715</c:v>
                </c:pt>
                <c:pt idx="534">
                  <c:v>150.09587023194715</c:v>
                </c:pt>
                <c:pt idx="535">
                  <c:v>150.09587023194715</c:v>
                </c:pt>
                <c:pt idx="536">
                  <c:v>150.09587023194715</c:v>
                </c:pt>
                <c:pt idx="537">
                  <c:v>150.09587023194715</c:v>
                </c:pt>
                <c:pt idx="538">
                  <c:v>150.09587023194715</c:v>
                </c:pt>
                <c:pt idx="539">
                  <c:v>150.09587023194715</c:v>
                </c:pt>
                <c:pt idx="540">
                  <c:v>150.09587023194715</c:v>
                </c:pt>
                <c:pt idx="541">
                  <c:v>150.09587023194715</c:v>
                </c:pt>
                <c:pt idx="542">
                  <c:v>150.09587023194715</c:v>
                </c:pt>
                <c:pt idx="543">
                  <c:v>150.09587023194715</c:v>
                </c:pt>
                <c:pt idx="544">
                  <c:v>150.09587023194715</c:v>
                </c:pt>
                <c:pt idx="545">
                  <c:v>150.09587023194715</c:v>
                </c:pt>
                <c:pt idx="546">
                  <c:v>150.09587023194715</c:v>
                </c:pt>
                <c:pt idx="547">
                  <c:v>150.09587023194715</c:v>
                </c:pt>
                <c:pt idx="548">
                  <c:v>150.09587023194715</c:v>
                </c:pt>
                <c:pt idx="549">
                  <c:v>150.09587023194715</c:v>
                </c:pt>
                <c:pt idx="550">
                  <c:v>150.09587023194715</c:v>
                </c:pt>
                <c:pt idx="551">
                  <c:v>150.09587023194715</c:v>
                </c:pt>
                <c:pt idx="552">
                  <c:v>150.09587023194715</c:v>
                </c:pt>
                <c:pt idx="553">
                  <c:v>150.09587023194715</c:v>
                </c:pt>
                <c:pt idx="554">
                  <c:v>150.09587023194715</c:v>
                </c:pt>
                <c:pt idx="555">
                  <c:v>150.09587023194715</c:v>
                </c:pt>
                <c:pt idx="556">
                  <c:v>150.09587023194715</c:v>
                </c:pt>
                <c:pt idx="557">
                  <c:v>150.09587023194715</c:v>
                </c:pt>
                <c:pt idx="558">
                  <c:v>150.09587023194715</c:v>
                </c:pt>
                <c:pt idx="559">
                  <c:v>150.09587023194715</c:v>
                </c:pt>
                <c:pt idx="560">
                  <c:v>150.09587023194715</c:v>
                </c:pt>
                <c:pt idx="561">
                  <c:v>150.09587023194715</c:v>
                </c:pt>
                <c:pt idx="562">
                  <c:v>150.09587023194715</c:v>
                </c:pt>
                <c:pt idx="563">
                  <c:v>150.09587023194715</c:v>
                </c:pt>
                <c:pt idx="564">
                  <c:v>150.09587023194715</c:v>
                </c:pt>
                <c:pt idx="565">
                  <c:v>150.09587023194715</c:v>
                </c:pt>
                <c:pt idx="566">
                  <c:v>150.09587023194715</c:v>
                </c:pt>
                <c:pt idx="567">
                  <c:v>150.09587023194715</c:v>
                </c:pt>
                <c:pt idx="568">
                  <c:v>150.09587023194715</c:v>
                </c:pt>
                <c:pt idx="569">
                  <c:v>150.09587023194715</c:v>
                </c:pt>
                <c:pt idx="570">
                  <c:v>150.09587023194715</c:v>
                </c:pt>
                <c:pt idx="571">
                  <c:v>150.09587023194715</c:v>
                </c:pt>
                <c:pt idx="572">
                  <c:v>150.09587023194715</c:v>
                </c:pt>
                <c:pt idx="573">
                  <c:v>150.09587023194715</c:v>
                </c:pt>
                <c:pt idx="574">
                  <c:v>150.09587023194715</c:v>
                </c:pt>
                <c:pt idx="575">
                  <c:v>150.09587023194715</c:v>
                </c:pt>
                <c:pt idx="576">
                  <c:v>150.09587023194715</c:v>
                </c:pt>
                <c:pt idx="577">
                  <c:v>150.09587023194715</c:v>
                </c:pt>
                <c:pt idx="578">
                  <c:v>150.09587023194715</c:v>
                </c:pt>
                <c:pt idx="579">
                  <c:v>150.09587023194715</c:v>
                </c:pt>
                <c:pt idx="580">
                  <c:v>150.09587023194715</c:v>
                </c:pt>
                <c:pt idx="581">
                  <c:v>150.09587023194715</c:v>
                </c:pt>
                <c:pt idx="582">
                  <c:v>150.09587023194715</c:v>
                </c:pt>
                <c:pt idx="583">
                  <c:v>150.09587023194715</c:v>
                </c:pt>
                <c:pt idx="584">
                  <c:v>150.09587023194715</c:v>
                </c:pt>
                <c:pt idx="585">
                  <c:v>150.09587023194715</c:v>
                </c:pt>
                <c:pt idx="586">
                  <c:v>150.09587023194715</c:v>
                </c:pt>
                <c:pt idx="587">
                  <c:v>150.09587023194715</c:v>
                </c:pt>
                <c:pt idx="588">
                  <c:v>150.09587023194715</c:v>
                </c:pt>
                <c:pt idx="589">
                  <c:v>150.09587023194715</c:v>
                </c:pt>
                <c:pt idx="590">
                  <c:v>150.09587023194715</c:v>
                </c:pt>
                <c:pt idx="591">
                  <c:v>150.09587023194715</c:v>
                </c:pt>
                <c:pt idx="592">
                  <c:v>150.09587023194715</c:v>
                </c:pt>
                <c:pt idx="593">
                  <c:v>150.09587023194715</c:v>
                </c:pt>
                <c:pt idx="594">
                  <c:v>150.09587023194715</c:v>
                </c:pt>
                <c:pt idx="595">
                  <c:v>150.09587023194715</c:v>
                </c:pt>
                <c:pt idx="596">
                  <c:v>150.09587023194715</c:v>
                </c:pt>
                <c:pt idx="597">
                  <c:v>150.09587023194715</c:v>
                </c:pt>
                <c:pt idx="598">
                  <c:v>150.09587023194715</c:v>
                </c:pt>
                <c:pt idx="599">
                  <c:v>150.09587023194715</c:v>
                </c:pt>
                <c:pt idx="600">
                  <c:v>150.09587023194715</c:v>
                </c:pt>
                <c:pt idx="601">
                  <c:v>150.09587023194715</c:v>
                </c:pt>
                <c:pt idx="602">
                  <c:v>150.09587023194715</c:v>
                </c:pt>
                <c:pt idx="603">
                  <c:v>150.09587023194715</c:v>
                </c:pt>
                <c:pt idx="604">
                  <c:v>150.09587023194715</c:v>
                </c:pt>
                <c:pt idx="605">
                  <c:v>150.09587023194715</c:v>
                </c:pt>
                <c:pt idx="606">
                  <c:v>150.09587023194715</c:v>
                </c:pt>
                <c:pt idx="607">
                  <c:v>150.09587023194715</c:v>
                </c:pt>
                <c:pt idx="608">
                  <c:v>150.09587023194715</c:v>
                </c:pt>
                <c:pt idx="609">
                  <c:v>150.09587023194715</c:v>
                </c:pt>
                <c:pt idx="610">
                  <c:v>150.09587023194715</c:v>
                </c:pt>
                <c:pt idx="611">
                  <c:v>150.09587023194715</c:v>
                </c:pt>
                <c:pt idx="612">
                  <c:v>150.09587023194715</c:v>
                </c:pt>
                <c:pt idx="613">
                  <c:v>150.09587023194715</c:v>
                </c:pt>
                <c:pt idx="614">
                  <c:v>150.09587023194715</c:v>
                </c:pt>
                <c:pt idx="615">
                  <c:v>150.09587023194715</c:v>
                </c:pt>
                <c:pt idx="616">
                  <c:v>150.09587023194715</c:v>
                </c:pt>
                <c:pt idx="617">
                  <c:v>150.09587023194715</c:v>
                </c:pt>
                <c:pt idx="618">
                  <c:v>150.09587023194715</c:v>
                </c:pt>
                <c:pt idx="619">
                  <c:v>150.09587023194715</c:v>
                </c:pt>
                <c:pt idx="620">
                  <c:v>150.09587023194715</c:v>
                </c:pt>
                <c:pt idx="621">
                  <c:v>150.09587023194715</c:v>
                </c:pt>
                <c:pt idx="622">
                  <c:v>150.09587023194715</c:v>
                </c:pt>
                <c:pt idx="623">
                  <c:v>150.09587023194715</c:v>
                </c:pt>
                <c:pt idx="624">
                  <c:v>150.09587023194715</c:v>
                </c:pt>
                <c:pt idx="625">
                  <c:v>150.09587023194715</c:v>
                </c:pt>
                <c:pt idx="626">
                  <c:v>150.09587023194715</c:v>
                </c:pt>
                <c:pt idx="627">
                  <c:v>150.09587023194715</c:v>
                </c:pt>
                <c:pt idx="628">
                  <c:v>150.09587023194715</c:v>
                </c:pt>
                <c:pt idx="629">
                  <c:v>150.09587023194715</c:v>
                </c:pt>
                <c:pt idx="630">
                  <c:v>150.09587023194715</c:v>
                </c:pt>
                <c:pt idx="631">
                  <c:v>150.09587023194715</c:v>
                </c:pt>
                <c:pt idx="632">
                  <c:v>150.09587023194715</c:v>
                </c:pt>
                <c:pt idx="633">
                  <c:v>150.09587023194715</c:v>
                </c:pt>
                <c:pt idx="634">
                  <c:v>150.09587023194715</c:v>
                </c:pt>
                <c:pt idx="635">
                  <c:v>150.09587023194715</c:v>
                </c:pt>
                <c:pt idx="636">
                  <c:v>150.09587023194715</c:v>
                </c:pt>
                <c:pt idx="637">
                  <c:v>150.09587023194715</c:v>
                </c:pt>
                <c:pt idx="638">
                  <c:v>150.09587023194715</c:v>
                </c:pt>
                <c:pt idx="639">
                  <c:v>150.09587023194715</c:v>
                </c:pt>
                <c:pt idx="640">
                  <c:v>150.09587023194715</c:v>
                </c:pt>
                <c:pt idx="641">
                  <c:v>150.09587023194715</c:v>
                </c:pt>
                <c:pt idx="642">
                  <c:v>150.09587023194715</c:v>
                </c:pt>
                <c:pt idx="643">
                  <c:v>150.09587023194715</c:v>
                </c:pt>
                <c:pt idx="644">
                  <c:v>150.09587023194715</c:v>
                </c:pt>
                <c:pt idx="645">
                  <c:v>150.09587023194715</c:v>
                </c:pt>
                <c:pt idx="646">
                  <c:v>150.09587023194715</c:v>
                </c:pt>
                <c:pt idx="647">
                  <c:v>150.09587023194715</c:v>
                </c:pt>
                <c:pt idx="648">
                  <c:v>150.09587023194715</c:v>
                </c:pt>
                <c:pt idx="649">
                  <c:v>150.09587023194715</c:v>
                </c:pt>
                <c:pt idx="650">
                  <c:v>150.09587023194715</c:v>
                </c:pt>
                <c:pt idx="651">
                  <c:v>150.09587023194715</c:v>
                </c:pt>
                <c:pt idx="652">
                  <c:v>150.09587023194715</c:v>
                </c:pt>
                <c:pt idx="653">
                  <c:v>150.09587023194715</c:v>
                </c:pt>
                <c:pt idx="654">
                  <c:v>150.09587023194715</c:v>
                </c:pt>
                <c:pt idx="655">
                  <c:v>150.09587023194715</c:v>
                </c:pt>
                <c:pt idx="656">
                  <c:v>150.09587023194715</c:v>
                </c:pt>
                <c:pt idx="657">
                  <c:v>150.09587023194715</c:v>
                </c:pt>
                <c:pt idx="658">
                  <c:v>150.09587023194715</c:v>
                </c:pt>
                <c:pt idx="659">
                  <c:v>150.09587023194715</c:v>
                </c:pt>
                <c:pt idx="660">
                  <c:v>150.09587023194715</c:v>
                </c:pt>
                <c:pt idx="661">
                  <c:v>150.09587023194715</c:v>
                </c:pt>
                <c:pt idx="662">
                  <c:v>150.09587023194715</c:v>
                </c:pt>
                <c:pt idx="663">
                  <c:v>150.09587023194715</c:v>
                </c:pt>
                <c:pt idx="664">
                  <c:v>150.09587023194715</c:v>
                </c:pt>
                <c:pt idx="665">
                  <c:v>150.09587023194715</c:v>
                </c:pt>
                <c:pt idx="666">
                  <c:v>150.09587023194715</c:v>
                </c:pt>
                <c:pt idx="667">
                  <c:v>150.09587023194715</c:v>
                </c:pt>
                <c:pt idx="668">
                  <c:v>150.09587023194715</c:v>
                </c:pt>
                <c:pt idx="669">
                  <c:v>150.09587023194715</c:v>
                </c:pt>
                <c:pt idx="670">
                  <c:v>150.09587023194715</c:v>
                </c:pt>
                <c:pt idx="671">
                  <c:v>150.09587023194715</c:v>
                </c:pt>
                <c:pt idx="672">
                  <c:v>150.09587023194715</c:v>
                </c:pt>
                <c:pt idx="673">
                  <c:v>150.09587023194715</c:v>
                </c:pt>
                <c:pt idx="674">
                  <c:v>150.09587023194715</c:v>
                </c:pt>
                <c:pt idx="675">
                  <c:v>150.09587023194715</c:v>
                </c:pt>
                <c:pt idx="676">
                  <c:v>150.09587023194715</c:v>
                </c:pt>
                <c:pt idx="677">
                  <c:v>150.09587023194715</c:v>
                </c:pt>
                <c:pt idx="678">
                  <c:v>150.09587023194715</c:v>
                </c:pt>
                <c:pt idx="679">
                  <c:v>150.09587023194715</c:v>
                </c:pt>
                <c:pt idx="680">
                  <c:v>150.09587023194715</c:v>
                </c:pt>
                <c:pt idx="681">
                  <c:v>150.09587023194715</c:v>
                </c:pt>
                <c:pt idx="682">
                  <c:v>150.09587023194715</c:v>
                </c:pt>
                <c:pt idx="683">
                  <c:v>150.09587023194715</c:v>
                </c:pt>
                <c:pt idx="684">
                  <c:v>150.09587023194715</c:v>
                </c:pt>
                <c:pt idx="685">
                  <c:v>150.09587023194715</c:v>
                </c:pt>
                <c:pt idx="686">
                  <c:v>150.09587023194715</c:v>
                </c:pt>
                <c:pt idx="687">
                  <c:v>150.09587023194715</c:v>
                </c:pt>
                <c:pt idx="688">
                  <c:v>150.09587023194715</c:v>
                </c:pt>
                <c:pt idx="689">
                  <c:v>150.09587023194715</c:v>
                </c:pt>
                <c:pt idx="690">
                  <c:v>150.09587023194715</c:v>
                </c:pt>
                <c:pt idx="691">
                  <c:v>150.09587023194715</c:v>
                </c:pt>
                <c:pt idx="692">
                  <c:v>150.09587023194715</c:v>
                </c:pt>
                <c:pt idx="693">
                  <c:v>150.09587023194715</c:v>
                </c:pt>
                <c:pt idx="694">
                  <c:v>150.09587023194715</c:v>
                </c:pt>
                <c:pt idx="695">
                  <c:v>150.09587023194715</c:v>
                </c:pt>
                <c:pt idx="696">
                  <c:v>150.09587023194715</c:v>
                </c:pt>
                <c:pt idx="697">
                  <c:v>150.09587023194715</c:v>
                </c:pt>
                <c:pt idx="698">
                  <c:v>150.09587023194715</c:v>
                </c:pt>
                <c:pt idx="699">
                  <c:v>150.09587023194715</c:v>
                </c:pt>
                <c:pt idx="700">
                  <c:v>150.09587023194715</c:v>
                </c:pt>
                <c:pt idx="701">
                  <c:v>150.09587023194715</c:v>
                </c:pt>
                <c:pt idx="702">
                  <c:v>150.09587023194715</c:v>
                </c:pt>
                <c:pt idx="703">
                  <c:v>150.09587023194715</c:v>
                </c:pt>
                <c:pt idx="704">
                  <c:v>150.09587023194715</c:v>
                </c:pt>
                <c:pt idx="705">
                  <c:v>150.09587023194715</c:v>
                </c:pt>
                <c:pt idx="706">
                  <c:v>150.09587023194715</c:v>
                </c:pt>
                <c:pt idx="707">
                  <c:v>150.09587023194715</c:v>
                </c:pt>
                <c:pt idx="708">
                  <c:v>150.09587023194715</c:v>
                </c:pt>
                <c:pt idx="709">
                  <c:v>150.09587023194715</c:v>
                </c:pt>
                <c:pt idx="710">
                  <c:v>150.09587023194715</c:v>
                </c:pt>
                <c:pt idx="711">
                  <c:v>150.09587023194715</c:v>
                </c:pt>
                <c:pt idx="712">
                  <c:v>150.09587023194715</c:v>
                </c:pt>
                <c:pt idx="713">
                  <c:v>150.09587023194715</c:v>
                </c:pt>
                <c:pt idx="714">
                  <c:v>150.09587023194715</c:v>
                </c:pt>
                <c:pt idx="715">
                  <c:v>150.09587023194715</c:v>
                </c:pt>
                <c:pt idx="716">
                  <c:v>150.09587023194715</c:v>
                </c:pt>
                <c:pt idx="717">
                  <c:v>150.09587023194715</c:v>
                </c:pt>
                <c:pt idx="718">
                  <c:v>150.09587023194715</c:v>
                </c:pt>
                <c:pt idx="719">
                  <c:v>150.09587023194715</c:v>
                </c:pt>
                <c:pt idx="720">
                  <c:v>150.09587023194715</c:v>
                </c:pt>
                <c:pt idx="721">
                  <c:v>150.09587023194715</c:v>
                </c:pt>
                <c:pt idx="722">
                  <c:v>150.09587023194715</c:v>
                </c:pt>
                <c:pt idx="723">
                  <c:v>150.09587023194715</c:v>
                </c:pt>
                <c:pt idx="724">
                  <c:v>150.09587023194715</c:v>
                </c:pt>
                <c:pt idx="725">
                  <c:v>150.09587023194715</c:v>
                </c:pt>
                <c:pt idx="726">
                  <c:v>150.09587023194715</c:v>
                </c:pt>
                <c:pt idx="727">
                  <c:v>150.09587023194715</c:v>
                </c:pt>
                <c:pt idx="728">
                  <c:v>150.09587023194715</c:v>
                </c:pt>
                <c:pt idx="729">
                  <c:v>150.09587023194715</c:v>
                </c:pt>
                <c:pt idx="730">
                  <c:v>150.09587023194715</c:v>
                </c:pt>
                <c:pt idx="731">
                  <c:v>150.09587023194715</c:v>
                </c:pt>
                <c:pt idx="732">
                  <c:v>150.09587023194715</c:v>
                </c:pt>
                <c:pt idx="733">
                  <c:v>150.09587023194715</c:v>
                </c:pt>
                <c:pt idx="734">
                  <c:v>150.09587023194715</c:v>
                </c:pt>
                <c:pt idx="735">
                  <c:v>150.09587023194715</c:v>
                </c:pt>
                <c:pt idx="736">
                  <c:v>150.09587023194715</c:v>
                </c:pt>
                <c:pt idx="737">
                  <c:v>150.09587023194715</c:v>
                </c:pt>
                <c:pt idx="738">
                  <c:v>150.09587023194715</c:v>
                </c:pt>
                <c:pt idx="739">
                  <c:v>150.09587023194715</c:v>
                </c:pt>
                <c:pt idx="740">
                  <c:v>150.09587023194715</c:v>
                </c:pt>
                <c:pt idx="741">
                  <c:v>150.09587023194715</c:v>
                </c:pt>
                <c:pt idx="742">
                  <c:v>150.09587023194715</c:v>
                </c:pt>
                <c:pt idx="743">
                  <c:v>150.09587023194715</c:v>
                </c:pt>
                <c:pt idx="744">
                  <c:v>150.09587023194715</c:v>
                </c:pt>
                <c:pt idx="745">
                  <c:v>150.09587023194715</c:v>
                </c:pt>
                <c:pt idx="746">
                  <c:v>150.09587023194715</c:v>
                </c:pt>
                <c:pt idx="747">
                  <c:v>150.09587023194715</c:v>
                </c:pt>
                <c:pt idx="748">
                  <c:v>150.09587023194715</c:v>
                </c:pt>
                <c:pt idx="749">
                  <c:v>150.09587023194715</c:v>
                </c:pt>
                <c:pt idx="750">
                  <c:v>150.09587023194715</c:v>
                </c:pt>
                <c:pt idx="751">
                  <c:v>150.09587023194715</c:v>
                </c:pt>
                <c:pt idx="752">
                  <c:v>150.09587023194715</c:v>
                </c:pt>
                <c:pt idx="753">
                  <c:v>150.09587023194715</c:v>
                </c:pt>
                <c:pt idx="754">
                  <c:v>150.09587023194715</c:v>
                </c:pt>
                <c:pt idx="755">
                  <c:v>150.09587023194715</c:v>
                </c:pt>
                <c:pt idx="756">
                  <c:v>150.09587023194715</c:v>
                </c:pt>
                <c:pt idx="757">
                  <c:v>150.09587023194715</c:v>
                </c:pt>
                <c:pt idx="758">
                  <c:v>150.09587023194715</c:v>
                </c:pt>
                <c:pt idx="759">
                  <c:v>150.09587023194715</c:v>
                </c:pt>
                <c:pt idx="760">
                  <c:v>150.09587023194715</c:v>
                </c:pt>
                <c:pt idx="761">
                  <c:v>150.09587023194715</c:v>
                </c:pt>
                <c:pt idx="762">
                  <c:v>150.09587023194715</c:v>
                </c:pt>
                <c:pt idx="763">
                  <c:v>150.09587023194715</c:v>
                </c:pt>
                <c:pt idx="764">
                  <c:v>150.09587023194715</c:v>
                </c:pt>
                <c:pt idx="765">
                  <c:v>150.09587023194715</c:v>
                </c:pt>
                <c:pt idx="766">
                  <c:v>150.09587023194715</c:v>
                </c:pt>
                <c:pt idx="767">
                  <c:v>150.09587023194715</c:v>
                </c:pt>
                <c:pt idx="768">
                  <c:v>150.09587023194715</c:v>
                </c:pt>
                <c:pt idx="769">
                  <c:v>150.09587023194715</c:v>
                </c:pt>
                <c:pt idx="770">
                  <c:v>150.09587023194715</c:v>
                </c:pt>
                <c:pt idx="771">
                  <c:v>150.09587023194715</c:v>
                </c:pt>
                <c:pt idx="772">
                  <c:v>150.09587023194715</c:v>
                </c:pt>
                <c:pt idx="773">
                  <c:v>150.09587023194715</c:v>
                </c:pt>
                <c:pt idx="774">
                  <c:v>150.09587023194715</c:v>
                </c:pt>
                <c:pt idx="775">
                  <c:v>150.09587023194715</c:v>
                </c:pt>
                <c:pt idx="776">
                  <c:v>150.09587023194715</c:v>
                </c:pt>
                <c:pt idx="777">
                  <c:v>150.09587023194715</c:v>
                </c:pt>
                <c:pt idx="778">
                  <c:v>150.09587023194715</c:v>
                </c:pt>
                <c:pt idx="779">
                  <c:v>150.09587023194715</c:v>
                </c:pt>
                <c:pt idx="780">
                  <c:v>150.09587023194715</c:v>
                </c:pt>
                <c:pt idx="781">
                  <c:v>150.09587023194715</c:v>
                </c:pt>
                <c:pt idx="782">
                  <c:v>150.09587023194715</c:v>
                </c:pt>
                <c:pt idx="783">
                  <c:v>150.09587023194715</c:v>
                </c:pt>
                <c:pt idx="784">
                  <c:v>150.09587023194715</c:v>
                </c:pt>
                <c:pt idx="785">
                  <c:v>150.09587023194715</c:v>
                </c:pt>
                <c:pt idx="786">
                  <c:v>150.09587023194715</c:v>
                </c:pt>
                <c:pt idx="787">
                  <c:v>150.09587023194715</c:v>
                </c:pt>
                <c:pt idx="788">
                  <c:v>150.09587023194715</c:v>
                </c:pt>
                <c:pt idx="789">
                  <c:v>150.09587023194715</c:v>
                </c:pt>
                <c:pt idx="790">
                  <c:v>150.09587023194715</c:v>
                </c:pt>
                <c:pt idx="791">
                  <c:v>150.09587023194715</c:v>
                </c:pt>
                <c:pt idx="792">
                  <c:v>150.09587023194715</c:v>
                </c:pt>
                <c:pt idx="793">
                  <c:v>150.09587023194715</c:v>
                </c:pt>
                <c:pt idx="794">
                  <c:v>150.09587023194715</c:v>
                </c:pt>
                <c:pt idx="795">
                  <c:v>150.09587023194715</c:v>
                </c:pt>
                <c:pt idx="796">
                  <c:v>150.09587023194715</c:v>
                </c:pt>
                <c:pt idx="797">
                  <c:v>150.09587023194715</c:v>
                </c:pt>
                <c:pt idx="798">
                  <c:v>150.09587023194715</c:v>
                </c:pt>
                <c:pt idx="799">
                  <c:v>150.09587023194715</c:v>
                </c:pt>
                <c:pt idx="800">
                  <c:v>150.09587023194715</c:v>
                </c:pt>
                <c:pt idx="801">
                  <c:v>150.09587023194715</c:v>
                </c:pt>
                <c:pt idx="802">
                  <c:v>150.09587023194715</c:v>
                </c:pt>
                <c:pt idx="803">
                  <c:v>150.09587023194715</c:v>
                </c:pt>
                <c:pt idx="804">
                  <c:v>150.09587023194715</c:v>
                </c:pt>
                <c:pt idx="805">
                  <c:v>150.09587023194715</c:v>
                </c:pt>
                <c:pt idx="806">
                  <c:v>150.09587023194715</c:v>
                </c:pt>
                <c:pt idx="807">
                  <c:v>150.09587023194715</c:v>
                </c:pt>
                <c:pt idx="808">
                  <c:v>150.09587023194715</c:v>
                </c:pt>
                <c:pt idx="809">
                  <c:v>150.09587023194715</c:v>
                </c:pt>
                <c:pt idx="810">
                  <c:v>150.09587023194715</c:v>
                </c:pt>
                <c:pt idx="811">
                  <c:v>150.09587023194715</c:v>
                </c:pt>
                <c:pt idx="812">
                  <c:v>150.09587023194715</c:v>
                </c:pt>
                <c:pt idx="813">
                  <c:v>150.09587023194715</c:v>
                </c:pt>
                <c:pt idx="814">
                  <c:v>150.09587023194715</c:v>
                </c:pt>
                <c:pt idx="815">
                  <c:v>150.09587023194715</c:v>
                </c:pt>
                <c:pt idx="816">
                  <c:v>150.09587023194715</c:v>
                </c:pt>
                <c:pt idx="817">
                  <c:v>150.09587023194715</c:v>
                </c:pt>
                <c:pt idx="818">
                  <c:v>150.09587023194715</c:v>
                </c:pt>
                <c:pt idx="819">
                  <c:v>150.09587023194715</c:v>
                </c:pt>
                <c:pt idx="820">
                  <c:v>150.09587023194715</c:v>
                </c:pt>
                <c:pt idx="821">
                  <c:v>150.09587023194715</c:v>
                </c:pt>
                <c:pt idx="822">
                  <c:v>150.09587023194715</c:v>
                </c:pt>
                <c:pt idx="823">
                  <c:v>150.09587023194715</c:v>
                </c:pt>
                <c:pt idx="824">
                  <c:v>150.09587023194715</c:v>
                </c:pt>
                <c:pt idx="825">
                  <c:v>150.09587023194715</c:v>
                </c:pt>
                <c:pt idx="826">
                  <c:v>150.09587023194715</c:v>
                </c:pt>
                <c:pt idx="827">
                  <c:v>150.09587023194715</c:v>
                </c:pt>
                <c:pt idx="828">
                  <c:v>150.09587023194715</c:v>
                </c:pt>
                <c:pt idx="829">
                  <c:v>150.09587023194715</c:v>
                </c:pt>
                <c:pt idx="830">
                  <c:v>150.09587023194715</c:v>
                </c:pt>
                <c:pt idx="831">
                  <c:v>150.09587023194715</c:v>
                </c:pt>
                <c:pt idx="832">
                  <c:v>150.09587023194715</c:v>
                </c:pt>
                <c:pt idx="833">
                  <c:v>150.09587023194715</c:v>
                </c:pt>
                <c:pt idx="834">
                  <c:v>150.09587023194715</c:v>
                </c:pt>
                <c:pt idx="835">
                  <c:v>150.09587023194715</c:v>
                </c:pt>
                <c:pt idx="836">
                  <c:v>150.09587023194715</c:v>
                </c:pt>
                <c:pt idx="837">
                  <c:v>150.09587023194715</c:v>
                </c:pt>
                <c:pt idx="838">
                  <c:v>150.09587023194715</c:v>
                </c:pt>
                <c:pt idx="839">
                  <c:v>150.09587023194715</c:v>
                </c:pt>
                <c:pt idx="840">
                  <c:v>150.09587023194715</c:v>
                </c:pt>
                <c:pt idx="841">
                  <c:v>150.09587023194715</c:v>
                </c:pt>
                <c:pt idx="842">
                  <c:v>150.09587023194715</c:v>
                </c:pt>
                <c:pt idx="843">
                  <c:v>150.09587023194715</c:v>
                </c:pt>
                <c:pt idx="844">
                  <c:v>150.09587023194715</c:v>
                </c:pt>
                <c:pt idx="845">
                  <c:v>150.09587023194715</c:v>
                </c:pt>
                <c:pt idx="846">
                  <c:v>150.09587023194715</c:v>
                </c:pt>
                <c:pt idx="847">
                  <c:v>150.09587023194715</c:v>
                </c:pt>
                <c:pt idx="848">
                  <c:v>150.09587023194715</c:v>
                </c:pt>
                <c:pt idx="849">
                  <c:v>150.09587023194715</c:v>
                </c:pt>
                <c:pt idx="850">
                  <c:v>150.09587023194715</c:v>
                </c:pt>
                <c:pt idx="851">
                  <c:v>150.09587023194715</c:v>
                </c:pt>
                <c:pt idx="852">
                  <c:v>150.09587023194715</c:v>
                </c:pt>
                <c:pt idx="853">
                  <c:v>150.09587023194715</c:v>
                </c:pt>
                <c:pt idx="854">
                  <c:v>150.09587023194715</c:v>
                </c:pt>
                <c:pt idx="855">
                  <c:v>150.09587023194715</c:v>
                </c:pt>
                <c:pt idx="856">
                  <c:v>150.09587023194715</c:v>
                </c:pt>
                <c:pt idx="857">
                  <c:v>150.09587023194715</c:v>
                </c:pt>
                <c:pt idx="858">
                  <c:v>150.09587023194715</c:v>
                </c:pt>
                <c:pt idx="859">
                  <c:v>150.09587023194715</c:v>
                </c:pt>
                <c:pt idx="860">
                  <c:v>150.09587023194715</c:v>
                </c:pt>
                <c:pt idx="861">
                  <c:v>150.09587023194715</c:v>
                </c:pt>
                <c:pt idx="862">
                  <c:v>150.09587023194715</c:v>
                </c:pt>
                <c:pt idx="863">
                  <c:v>150.09587023194715</c:v>
                </c:pt>
                <c:pt idx="864">
                  <c:v>150.09587023194715</c:v>
                </c:pt>
                <c:pt idx="865">
                  <c:v>150.09587023194715</c:v>
                </c:pt>
                <c:pt idx="866">
                  <c:v>150.09587023194715</c:v>
                </c:pt>
                <c:pt idx="867">
                  <c:v>150.09587023194715</c:v>
                </c:pt>
                <c:pt idx="868">
                  <c:v>150.09587023194715</c:v>
                </c:pt>
                <c:pt idx="869">
                  <c:v>150.09587023194715</c:v>
                </c:pt>
                <c:pt idx="870">
                  <c:v>150.09587023194715</c:v>
                </c:pt>
                <c:pt idx="871">
                  <c:v>150.09587023194715</c:v>
                </c:pt>
                <c:pt idx="872">
                  <c:v>150.09587023194715</c:v>
                </c:pt>
                <c:pt idx="873">
                  <c:v>150.09587023194715</c:v>
                </c:pt>
                <c:pt idx="874">
                  <c:v>150.09587023194715</c:v>
                </c:pt>
                <c:pt idx="875">
                  <c:v>150.09587023194715</c:v>
                </c:pt>
                <c:pt idx="876">
                  <c:v>150.09587023194715</c:v>
                </c:pt>
                <c:pt idx="877">
                  <c:v>150.09587023194715</c:v>
                </c:pt>
                <c:pt idx="878">
                  <c:v>150.09587023194715</c:v>
                </c:pt>
                <c:pt idx="879">
                  <c:v>150.09587023194715</c:v>
                </c:pt>
                <c:pt idx="880">
                  <c:v>150.09587023194715</c:v>
                </c:pt>
                <c:pt idx="881">
                  <c:v>150.09587023194715</c:v>
                </c:pt>
                <c:pt idx="882">
                  <c:v>150.09587023194715</c:v>
                </c:pt>
                <c:pt idx="883">
                  <c:v>150.09587023194715</c:v>
                </c:pt>
                <c:pt idx="884">
                  <c:v>150.09587023194715</c:v>
                </c:pt>
                <c:pt idx="885">
                  <c:v>150.09587023194715</c:v>
                </c:pt>
                <c:pt idx="886">
                  <c:v>150.09587023194715</c:v>
                </c:pt>
                <c:pt idx="887">
                  <c:v>150.09587023194715</c:v>
                </c:pt>
                <c:pt idx="888">
                  <c:v>150.09587023194715</c:v>
                </c:pt>
                <c:pt idx="889">
                  <c:v>150.09587023194715</c:v>
                </c:pt>
                <c:pt idx="890">
                  <c:v>150.09587023194715</c:v>
                </c:pt>
                <c:pt idx="891">
                  <c:v>150.09587023194715</c:v>
                </c:pt>
                <c:pt idx="892">
                  <c:v>150.09587023194715</c:v>
                </c:pt>
                <c:pt idx="893">
                  <c:v>150.09587023194715</c:v>
                </c:pt>
                <c:pt idx="894">
                  <c:v>150.09587023194715</c:v>
                </c:pt>
                <c:pt idx="895">
                  <c:v>150.09587023194715</c:v>
                </c:pt>
                <c:pt idx="896">
                  <c:v>150.09587023194715</c:v>
                </c:pt>
                <c:pt idx="897">
                  <c:v>150.09587023194715</c:v>
                </c:pt>
                <c:pt idx="898">
                  <c:v>150.09587023194715</c:v>
                </c:pt>
                <c:pt idx="899">
                  <c:v>150.09587023194715</c:v>
                </c:pt>
                <c:pt idx="900">
                  <c:v>150.09587023194715</c:v>
                </c:pt>
                <c:pt idx="901">
                  <c:v>150.09587023194715</c:v>
                </c:pt>
                <c:pt idx="902">
                  <c:v>150.09587023194715</c:v>
                </c:pt>
                <c:pt idx="903">
                  <c:v>150.09587023194715</c:v>
                </c:pt>
                <c:pt idx="904">
                  <c:v>150.09587023194715</c:v>
                </c:pt>
                <c:pt idx="905">
                  <c:v>150.09587023194715</c:v>
                </c:pt>
                <c:pt idx="906">
                  <c:v>150.09587023194715</c:v>
                </c:pt>
                <c:pt idx="907">
                  <c:v>150.09587023194715</c:v>
                </c:pt>
                <c:pt idx="908">
                  <c:v>150.09587023194715</c:v>
                </c:pt>
                <c:pt idx="909">
                  <c:v>150.09587023194715</c:v>
                </c:pt>
                <c:pt idx="910">
                  <c:v>150.09587023194715</c:v>
                </c:pt>
                <c:pt idx="911">
                  <c:v>150.09587023194715</c:v>
                </c:pt>
                <c:pt idx="912">
                  <c:v>150.09587023194715</c:v>
                </c:pt>
                <c:pt idx="913">
                  <c:v>150.09587023194715</c:v>
                </c:pt>
                <c:pt idx="914">
                  <c:v>150.09587023194715</c:v>
                </c:pt>
                <c:pt idx="915">
                  <c:v>150.09587023194715</c:v>
                </c:pt>
                <c:pt idx="916">
                  <c:v>150.09587023194715</c:v>
                </c:pt>
                <c:pt idx="917">
                  <c:v>150.09587023194715</c:v>
                </c:pt>
                <c:pt idx="918">
                  <c:v>150.09587023194715</c:v>
                </c:pt>
                <c:pt idx="919">
                  <c:v>150.09587023194715</c:v>
                </c:pt>
                <c:pt idx="920">
                  <c:v>150.09587023194715</c:v>
                </c:pt>
                <c:pt idx="921">
                  <c:v>150.09587023194715</c:v>
                </c:pt>
                <c:pt idx="922">
                  <c:v>150.09587023194715</c:v>
                </c:pt>
                <c:pt idx="923">
                  <c:v>150.09587023194715</c:v>
                </c:pt>
                <c:pt idx="924">
                  <c:v>150.09587023194715</c:v>
                </c:pt>
                <c:pt idx="925">
                  <c:v>150.09587023194715</c:v>
                </c:pt>
                <c:pt idx="926">
                  <c:v>150.09587023194715</c:v>
                </c:pt>
                <c:pt idx="927">
                  <c:v>150.09587023194715</c:v>
                </c:pt>
                <c:pt idx="928">
                  <c:v>150.09587023194715</c:v>
                </c:pt>
                <c:pt idx="929">
                  <c:v>150.09587023194715</c:v>
                </c:pt>
                <c:pt idx="930">
                  <c:v>150.09587023194715</c:v>
                </c:pt>
                <c:pt idx="931">
                  <c:v>150.09587023194715</c:v>
                </c:pt>
                <c:pt idx="932">
                  <c:v>150.09587023194715</c:v>
                </c:pt>
                <c:pt idx="933">
                  <c:v>150.09587023194715</c:v>
                </c:pt>
                <c:pt idx="934">
                  <c:v>150.09587023194715</c:v>
                </c:pt>
                <c:pt idx="935">
                  <c:v>150.09587023194715</c:v>
                </c:pt>
                <c:pt idx="936">
                  <c:v>150.09587023194715</c:v>
                </c:pt>
                <c:pt idx="937">
                  <c:v>150.09587023194715</c:v>
                </c:pt>
                <c:pt idx="938">
                  <c:v>150.09587023194715</c:v>
                </c:pt>
                <c:pt idx="939">
                  <c:v>150.09587023194715</c:v>
                </c:pt>
                <c:pt idx="940">
                  <c:v>150.09587023194715</c:v>
                </c:pt>
                <c:pt idx="941">
                  <c:v>150.09587023194715</c:v>
                </c:pt>
                <c:pt idx="942">
                  <c:v>150.09587023194715</c:v>
                </c:pt>
                <c:pt idx="943">
                  <c:v>150.09587023194715</c:v>
                </c:pt>
                <c:pt idx="944">
                  <c:v>150.09587023194715</c:v>
                </c:pt>
                <c:pt idx="945">
                  <c:v>150.09587023194715</c:v>
                </c:pt>
                <c:pt idx="946">
                  <c:v>150.09587023194715</c:v>
                </c:pt>
                <c:pt idx="947">
                  <c:v>150.09587023194715</c:v>
                </c:pt>
                <c:pt idx="948">
                  <c:v>150.09587023194715</c:v>
                </c:pt>
                <c:pt idx="949">
                  <c:v>150.09587023194715</c:v>
                </c:pt>
                <c:pt idx="950">
                  <c:v>150.09587023194715</c:v>
                </c:pt>
                <c:pt idx="951">
                  <c:v>150.09587023194715</c:v>
                </c:pt>
                <c:pt idx="952">
                  <c:v>150.09587023194715</c:v>
                </c:pt>
                <c:pt idx="953">
                  <c:v>150.09587023194715</c:v>
                </c:pt>
                <c:pt idx="954">
                  <c:v>150.09587023194715</c:v>
                </c:pt>
                <c:pt idx="955">
                  <c:v>150.09587023194715</c:v>
                </c:pt>
                <c:pt idx="956">
                  <c:v>150.09587023194715</c:v>
                </c:pt>
                <c:pt idx="957">
                  <c:v>150.09587023194715</c:v>
                </c:pt>
                <c:pt idx="958">
                  <c:v>150.09587023194715</c:v>
                </c:pt>
                <c:pt idx="959">
                  <c:v>150.09587023194715</c:v>
                </c:pt>
                <c:pt idx="960">
                  <c:v>150.09587023194715</c:v>
                </c:pt>
                <c:pt idx="961">
                  <c:v>150.09587023194715</c:v>
                </c:pt>
                <c:pt idx="962">
                  <c:v>150.09587023194715</c:v>
                </c:pt>
                <c:pt idx="963">
                  <c:v>150.09587023194715</c:v>
                </c:pt>
                <c:pt idx="964">
                  <c:v>150.09587023194715</c:v>
                </c:pt>
                <c:pt idx="965">
                  <c:v>150.09587023194715</c:v>
                </c:pt>
                <c:pt idx="966">
                  <c:v>150.09587023194715</c:v>
                </c:pt>
                <c:pt idx="967">
                  <c:v>150.09587023194715</c:v>
                </c:pt>
                <c:pt idx="968">
                  <c:v>150.09587023194715</c:v>
                </c:pt>
                <c:pt idx="969">
                  <c:v>150.09587023194715</c:v>
                </c:pt>
                <c:pt idx="970">
                  <c:v>150.09587023194715</c:v>
                </c:pt>
                <c:pt idx="971">
                  <c:v>150.09587023194715</c:v>
                </c:pt>
                <c:pt idx="972">
                  <c:v>150.09587023194715</c:v>
                </c:pt>
                <c:pt idx="973">
                  <c:v>150.09587023194715</c:v>
                </c:pt>
                <c:pt idx="974">
                  <c:v>150.09587023194715</c:v>
                </c:pt>
                <c:pt idx="975">
                  <c:v>150.09587023194715</c:v>
                </c:pt>
                <c:pt idx="976">
                  <c:v>150.09587023194715</c:v>
                </c:pt>
                <c:pt idx="977">
                  <c:v>150.09587023194715</c:v>
                </c:pt>
                <c:pt idx="978">
                  <c:v>150.09587023194715</c:v>
                </c:pt>
                <c:pt idx="979">
                  <c:v>150.09587023194715</c:v>
                </c:pt>
                <c:pt idx="980">
                  <c:v>150.09587023194715</c:v>
                </c:pt>
                <c:pt idx="981">
                  <c:v>150.09587023194715</c:v>
                </c:pt>
                <c:pt idx="982">
                  <c:v>150.09587023194715</c:v>
                </c:pt>
                <c:pt idx="983">
                  <c:v>150.09587023194715</c:v>
                </c:pt>
                <c:pt idx="984">
                  <c:v>150.09587023194715</c:v>
                </c:pt>
                <c:pt idx="985">
                  <c:v>150.09587023194715</c:v>
                </c:pt>
                <c:pt idx="986">
                  <c:v>150.09587023194715</c:v>
                </c:pt>
                <c:pt idx="987">
                  <c:v>150.09587023194715</c:v>
                </c:pt>
                <c:pt idx="988">
                  <c:v>150.09587023194715</c:v>
                </c:pt>
                <c:pt idx="989">
                  <c:v>150.09587023194715</c:v>
                </c:pt>
                <c:pt idx="990">
                  <c:v>150.09587023194715</c:v>
                </c:pt>
                <c:pt idx="991">
                  <c:v>150.09587023194715</c:v>
                </c:pt>
                <c:pt idx="992">
                  <c:v>150.09587023194715</c:v>
                </c:pt>
                <c:pt idx="993">
                  <c:v>150.09587023194715</c:v>
                </c:pt>
                <c:pt idx="994">
                  <c:v>150.09587023194715</c:v>
                </c:pt>
                <c:pt idx="995">
                  <c:v>150.09587023194715</c:v>
                </c:pt>
                <c:pt idx="996">
                  <c:v>150.09587023194715</c:v>
                </c:pt>
                <c:pt idx="997">
                  <c:v>150.09587023194715</c:v>
                </c:pt>
                <c:pt idx="998">
                  <c:v>150.09587023194715</c:v>
                </c:pt>
                <c:pt idx="999">
                  <c:v>150.09587023194715</c:v>
                </c:pt>
                <c:pt idx="1000">
                  <c:v>150.09587023194715</c:v>
                </c:pt>
              </c:numCache>
            </c:numRef>
          </c:yVal>
          <c:smooth val="0"/>
          <c:extLst>
            <c:ext xmlns:c16="http://schemas.microsoft.com/office/drawing/2014/chart" uri="{C3380CC4-5D6E-409C-BE32-E72D297353CC}">
              <c16:uniqueId val="{00000000-B5CC-4BD6-9E0D-EA30945FB569}"/>
            </c:ext>
          </c:extLst>
        </c:ser>
        <c:ser>
          <c:idx val="1"/>
          <c:order val="1"/>
          <c:tx>
            <c:strRef>
              <c:f>Courbes!$B$143</c:f>
              <c:strCache>
                <c:ptCount val="1"/>
                <c:pt idx="0">
                  <c:v>Altitude</c:v>
                </c:pt>
              </c:strCache>
            </c:strRef>
          </c:tx>
          <c:spPr>
            <a:ln w="12700">
              <a:solidFill>
                <a:srgbClr val="000080"/>
              </a:solidFill>
              <a:prstDash val="solid"/>
            </a:ln>
          </c:spPr>
          <c:marker>
            <c:symbol val="none"/>
          </c:marker>
          <c:xVal>
            <c:numRef>
              <c:f>Calculs!$B$4:$B$1004</c:f>
              <c:numCache>
                <c:formatCode>0.00</c:formatCode>
                <c:ptCount val="1001"/>
                <c:pt idx="0">
                  <c:v>0</c:v>
                </c:pt>
                <c:pt idx="1">
                  <c:v>0.01</c:v>
                </c:pt>
                <c:pt idx="2">
                  <c:v>0.02</c:v>
                </c:pt>
                <c:pt idx="3">
                  <c:v>0.03</c:v>
                </c:pt>
                <c:pt idx="4">
                  <c:v>0.04</c:v>
                </c:pt>
                <c:pt idx="5">
                  <c:v>0.05</c:v>
                </c:pt>
                <c:pt idx="6">
                  <c:v>6.0000000000000005E-2</c:v>
                </c:pt>
                <c:pt idx="7">
                  <c:v>7.0000000000000007E-2</c:v>
                </c:pt>
                <c:pt idx="8">
                  <c:v>0.08</c:v>
                </c:pt>
                <c:pt idx="9">
                  <c:v>0.09</c:v>
                </c:pt>
                <c:pt idx="10">
                  <c:v>9.9999999999999992E-2</c:v>
                </c:pt>
                <c:pt idx="11">
                  <c:v>0.10999999999999999</c:v>
                </c:pt>
                <c:pt idx="12">
                  <c:v>0.11999999999999998</c:v>
                </c:pt>
                <c:pt idx="13">
                  <c:v>0.12999999999999998</c:v>
                </c:pt>
                <c:pt idx="14">
                  <c:v>0.13999999999999999</c:v>
                </c:pt>
                <c:pt idx="15">
                  <c:v>0.15</c:v>
                </c:pt>
                <c:pt idx="16">
                  <c:v>0.16</c:v>
                </c:pt>
                <c:pt idx="17">
                  <c:v>0.17</c:v>
                </c:pt>
                <c:pt idx="18">
                  <c:v>0.18000000000000002</c:v>
                </c:pt>
                <c:pt idx="19">
                  <c:v>0.19000000000000003</c:v>
                </c:pt>
                <c:pt idx="20">
                  <c:v>0.20000000000000004</c:v>
                </c:pt>
                <c:pt idx="21">
                  <c:v>0.21000000000000005</c:v>
                </c:pt>
                <c:pt idx="22">
                  <c:v>0.22000000000000006</c:v>
                </c:pt>
                <c:pt idx="23">
                  <c:v>0.23000000000000007</c:v>
                </c:pt>
                <c:pt idx="24">
                  <c:v>0.24000000000000007</c:v>
                </c:pt>
                <c:pt idx="25">
                  <c:v>0.25000000000000006</c:v>
                </c:pt>
                <c:pt idx="26">
                  <c:v>0.26000000000000006</c:v>
                </c:pt>
                <c:pt idx="27">
                  <c:v>0.27000000000000007</c:v>
                </c:pt>
                <c:pt idx="28">
                  <c:v>0.28000000000000008</c:v>
                </c:pt>
                <c:pt idx="29">
                  <c:v>0.29000000000000009</c:v>
                </c:pt>
                <c:pt idx="30">
                  <c:v>0.3000000000000001</c:v>
                </c:pt>
                <c:pt idx="31">
                  <c:v>0.31000000000000011</c:v>
                </c:pt>
                <c:pt idx="32">
                  <c:v>0.32000000000000012</c:v>
                </c:pt>
                <c:pt idx="33">
                  <c:v>0.33000000000000013</c:v>
                </c:pt>
                <c:pt idx="34">
                  <c:v>0.34000000000000014</c:v>
                </c:pt>
                <c:pt idx="35">
                  <c:v>0.35000000000000014</c:v>
                </c:pt>
                <c:pt idx="36">
                  <c:v>0.36000000000000015</c:v>
                </c:pt>
                <c:pt idx="37">
                  <c:v>0.37000000000000016</c:v>
                </c:pt>
                <c:pt idx="38">
                  <c:v>0.38000000000000017</c:v>
                </c:pt>
                <c:pt idx="39">
                  <c:v>0.39000000000000018</c:v>
                </c:pt>
                <c:pt idx="40">
                  <c:v>0.40000000000000019</c:v>
                </c:pt>
                <c:pt idx="41">
                  <c:v>0.4100000000000002</c:v>
                </c:pt>
                <c:pt idx="42">
                  <c:v>0.42000000000000021</c:v>
                </c:pt>
                <c:pt idx="43">
                  <c:v>0.43000000000000022</c:v>
                </c:pt>
                <c:pt idx="44">
                  <c:v>0.44000000000000022</c:v>
                </c:pt>
                <c:pt idx="45">
                  <c:v>0.45000000000000023</c:v>
                </c:pt>
                <c:pt idx="46">
                  <c:v>0.46000000000000024</c:v>
                </c:pt>
                <c:pt idx="47">
                  <c:v>0.47000000000000025</c:v>
                </c:pt>
                <c:pt idx="48">
                  <c:v>0.48000000000000026</c:v>
                </c:pt>
                <c:pt idx="49">
                  <c:v>0.49000000000000027</c:v>
                </c:pt>
                <c:pt idx="50">
                  <c:v>0.50000000000000022</c:v>
                </c:pt>
                <c:pt idx="51">
                  <c:v>0.51000000000000023</c:v>
                </c:pt>
                <c:pt idx="52">
                  <c:v>0.52000000000000024</c:v>
                </c:pt>
                <c:pt idx="53">
                  <c:v>0.53000000000000025</c:v>
                </c:pt>
                <c:pt idx="54">
                  <c:v>0.54000000000000026</c:v>
                </c:pt>
                <c:pt idx="55">
                  <c:v>0.55000000000000027</c:v>
                </c:pt>
                <c:pt idx="56">
                  <c:v>0.56000000000000028</c:v>
                </c:pt>
                <c:pt idx="57">
                  <c:v>0.57000000000000028</c:v>
                </c:pt>
                <c:pt idx="58">
                  <c:v>0.58000000000000029</c:v>
                </c:pt>
                <c:pt idx="59">
                  <c:v>0.5900000000000003</c:v>
                </c:pt>
                <c:pt idx="60">
                  <c:v>0.60000000000000031</c:v>
                </c:pt>
                <c:pt idx="61">
                  <c:v>0.61000000000000032</c:v>
                </c:pt>
                <c:pt idx="62">
                  <c:v>0.62000000000000033</c:v>
                </c:pt>
                <c:pt idx="63">
                  <c:v>0.63000000000000034</c:v>
                </c:pt>
                <c:pt idx="64">
                  <c:v>0.64000000000000035</c:v>
                </c:pt>
                <c:pt idx="65">
                  <c:v>0.65000000000000036</c:v>
                </c:pt>
                <c:pt idx="66">
                  <c:v>0.66000000000000036</c:v>
                </c:pt>
                <c:pt idx="67">
                  <c:v>0.67000000000000037</c:v>
                </c:pt>
                <c:pt idx="68">
                  <c:v>0.68000000000000038</c:v>
                </c:pt>
                <c:pt idx="69">
                  <c:v>0.69000000000000039</c:v>
                </c:pt>
                <c:pt idx="70">
                  <c:v>0.7000000000000004</c:v>
                </c:pt>
                <c:pt idx="71">
                  <c:v>0.71000000000000041</c:v>
                </c:pt>
                <c:pt idx="72">
                  <c:v>0.72000000000000042</c:v>
                </c:pt>
                <c:pt idx="73">
                  <c:v>0.73000000000000043</c:v>
                </c:pt>
                <c:pt idx="74">
                  <c:v>0.74000000000000044</c:v>
                </c:pt>
                <c:pt idx="75">
                  <c:v>0.75000000000000044</c:v>
                </c:pt>
                <c:pt idx="76">
                  <c:v>0.76000000000000045</c:v>
                </c:pt>
                <c:pt idx="77">
                  <c:v>0.77000000000000046</c:v>
                </c:pt>
                <c:pt idx="78">
                  <c:v>0.78000000000000047</c:v>
                </c:pt>
                <c:pt idx="79">
                  <c:v>0.79000000000000048</c:v>
                </c:pt>
                <c:pt idx="80">
                  <c:v>0.80000000000000049</c:v>
                </c:pt>
                <c:pt idx="81">
                  <c:v>0.8100000000000005</c:v>
                </c:pt>
                <c:pt idx="82">
                  <c:v>0.82000000000000051</c:v>
                </c:pt>
                <c:pt idx="83">
                  <c:v>0.83000000000000052</c:v>
                </c:pt>
                <c:pt idx="84">
                  <c:v>0.84000000000000052</c:v>
                </c:pt>
                <c:pt idx="85">
                  <c:v>0.85000000000000053</c:v>
                </c:pt>
                <c:pt idx="86">
                  <c:v>0.86000000000000054</c:v>
                </c:pt>
                <c:pt idx="87">
                  <c:v>0.87000000000000055</c:v>
                </c:pt>
                <c:pt idx="88">
                  <c:v>0.88000000000000056</c:v>
                </c:pt>
                <c:pt idx="89">
                  <c:v>0.89000000000000057</c:v>
                </c:pt>
                <c:pt idx="90">
                  <c:v>0.90000000000000058</c:v>
                </c:pt>
                <c:pt idx="91">
                  <c:v>0.91000000000000059</c:v>
                </c:pt>
                <c:pt idx="92">
                  <c:v>0.9200000000000006</c:v>
                </c:pt>
                <c:pt idx="93">
                  <c:v>0.9300000000000006</c:v>
                </c:pt>
                <c:pt idx="94">
                  <c:v>0.94000000000000061</c:v>
                </c:pt>
                <c:pt idx="95">
                  <c:v>0.95000000000000062</c:v>
                </c:pt>
                <c:pt idx="96">
                  <c:v>0.96000000000000063</c:v>
                </c:pt>
                <c:pt idx="97">
                  <c:v>0.97000000000000064</c:v>
                </c:pt>
                <c:pt idx="98">
                  <c:v>0.98000000000000065</c:v>
                </c:pt>
                <c:pt idx="99">
                  <c:v>0.99000000000000066</c:v>
                </c:pt>
                <c:pt idx="100">
                  <c:v>1.0000000000000007</c:v>
                </c:pt>
                <c:pt idx="101">
                  <c:v>1.0100000000000007</c:v>
                </c:pt>
                <c:pt idx="102">
                  <c:v>1.0200000000000007</c:v>
                </c:pt>
                <c:pt idx="103">
                  <c:v>1.0300000000000007</c:v>
                </c:pt>
                <c:pt idx="104">
                  <c:v>1.0400000000000007</c:v>
                </c:pt>
                <c:pt idx="105">
                  <c:v>1.0500000000000007</c:v>
                </c:pt>
                <c:pt idx="106">
                  <c:v>1.0600000000000007</c:v>
                </c:pt>
                <c:pt idx="107">
                  <c:v>1.0700000000000007</c:v>
                </c:pt>
                <c:pt idx="108">
                  <c:v>1.0800000000000007</c:v>
                </c:pt>
                <c:pt idx="109">
                  <c:v>1.0900000000000007</c:v>
                </c:pt>
                <c:pt idx="110">
                  <c:v>1.1000000000000008</c:v>
                </c:pt>
                <c:pt idx="111">
                  <c:v>1.1100000000000008</c:v>
                </c:pt>
                <c:pt idx="112">
                  <c:v>1.1200000000000008</c:v>
                </c:pt>
                <c:pt idx="113">
                  <c:v>1.1300000000000008</c:v>
                </c:pt>
                <c:pt idx="114">
                  <c:v>1.1400000000000008</c:v>
                </c:pt>
                <c:pt idx="115">
                  <c:v>1.1500000000000008</c:v>
                </c:pt>
                <c:pt idx="116">
                  <c:v>1.1600000000000008</c:v>
                </c:pt>
                <c:pt idx="117">
                  <c:v>1.1700000000000008</c:v>
                </c:pt>
                <c:pt idx="118">
                  <c:v>1.1800000000000008</c:v>
                </c:pt>
                <c:pt idx="119">
                  <c:v>1.1900000000000008</c:v>
                </c:pt>
                <c:pt idx="120">
                  <c:v>1.2000000000000008</c:v>
                </c:pt>
                <c:pt idx="121">
                  <c:v>1.2100000000000009</c:v>
                </c:pt>
                <c:pt idx="122">
                  <c:v>1.2200000000000009</c:v>
                </c:pt>
                <c:pt idx="123">
                  <c:v>1.2300000000000009</c:v>
                </c:pt>
                <c:pt idx="124">
                  <c:v>1.2400000000000009</c:v>
                </c:pt>
                <c:pt idx="125">
                  <c:v>1.2500000000000009</c:v>
                </c:pt>
                <c:pt idx="126">
                  <c:v>1.2600000000000009</c:v>
                </c:pt>
                <c:pt idx="127">
                  <c:v>1.2700000000000009</c:v>
                </c:pt>
                <c:pt idx="128">
                  <c:v>1.2800000000000009</c:v>
                </c:pt>
                <c:pt idx="129">
                  <c:v>1.2900000000000009</c:v>
                </c:pt>
                <c:pt idx="130">
                  <c:v>1.3000000000000009</c:v>
                </c:pt>
                <c:pt idx="131">
                  <c:v>1.3100000000000009</c:v>
                </c:pt>
                <c:pt idx="132">
                  <c:v>1.320000000000001</c:v>
                </c:pt>
                <c:pt idx="133">
                  <c:v>1.330000000000001</c:v>
                </c:pt>
                <c:pt idx="134">
                  <c:v>1.340000000000001</c:v>
                </c:pt>
                <c:pt idx="135">
                  <c:v>1.350000000000001</c:v>
                </c:pt>
                <c:pt idx="136">
                  <c:v>1.360000000000001</c:v>
                </c:pt>
                <c:pt idx="137">
                  <c:v>1.370000000000001</c:v>
                </c:pt>
                <c:pt idx="138">
                  <c:v>1.380000000000001</c:v>
                </c:pt>
                <c:pt idx="139">
                  <c:v>1.390000000000001</c:v>
                </c:pt>
                <c:pt idx="140">
                  <c:v>1.400000000000001</c:v>
                </c:pt>
                <c:pt idx="141">
                  <c:v>1.410000000000001</c:v>
                </c:pt>
                <c:pt idx="142">
                  <c:v>1.420000000000001</c:v>
                </c:pt>
                <c:pt idx="143">
                  <c:v>1.430000000000001</c:v>
                </c:pt>
                <c:pt idx="144">
                  <c:v>1.4400000000000011</c:v>
                </c:pt>
                <c:pt idx="145">
                  <c:v>1.4500000000000011</c:v>
                </c:pt>
                <c:pt idx="146">
                  <c:v>1.4600000000000011</c:v>
                </c:pt>
                <c:pt idx="147">
                  <c:v>1.4700000000000011</c:v>
                </c:pt>
                <c:pt idx="148">
                  <c:v>1.4800000000000011</c:v>
                </c:pt>
                <c:pt idx="149">
                  <c:v>1.4900000000000011</c:v>
                </c:pt>
                <c:pt idx="150">
                  <c:v>1.5000000000000011</c:v>
                </c:pt>
                <c:pt idx="151">
                  <c:v>1.5100000000000011</c:v>
                </c:pt>
                <c:pt idx="152">
                  <c:v>1.5200000000000011</c:v>
                </c:pt>
                <c:pt idx="153">
                  <c:v>1.5300000000000011</c:v>
                </c:pt>
                <c:pt idx="154">
                  <c:v>1.5400000000000011</c:v>
                </c:pt>
                <c:pt idx="155">
                  <c:v>1.5500000000000012</c:v>
                </c:pt>
                <c:pt idx="156">
                  <c:v>1.5600000000000012</c:v>
                </c:pt>
                <c:pt idx="157">
                  <c:v>1.5700000000000012</c:v>
                </c:pt>
                <c:pt idx="158">
                  <c:v>1.5800000000000012</c:v>
                </c:pt>
                <c:pt idx="159">
                  <c:v>1.5900000000000012</c:v>
                </c:pt>
                <c:pt idx="160">
                  <c:v>1.6000000000000012</c:v>
                </c:pt>
                <c:pt idx="161">
                  <c:v>1.6100000000000012</c:v>
                </c:pt>
                <c:pt idx="162">
                  <c:v>1.6200000000000012</c:v>
                </c:pt>
                <c:pt idx="163">
                  <c:v>1.6300000000000012</c:v>
                </c:pt>
                <c:pt idx="164">
                  <c:v>1.6400000000000012</c:v>
                </c:pt>
                <c:pt idx="165">
                  <c:v>1.6500000000000012</c:v>
                </c:pt>
                <c:pt idx="166">
                  <c:v>1.6600000000000013</c:v>
                </c:pt>
                <c:pt idx="167">
                  <c:v>1.6700000000000013</c:v>
                </c:pt>
                <c:pt idx="168">
                  <c:v>1.6800000000000013</c:v>
                </c:pt>
                <c:pt idx="169">
                  <c:v>1.6900000000000013</c:v>
                </c:pt>
                <c:pt idx="170">
                  <c:v>1.7000000000000013</c:v>
                </c:pt>
                <c:pt idx="171">
                  <c:v>1.7100000000000013</c:v>
                </c:pt>
                <c:pt idx="172">
                  <c:v>1.7200000000000013</c:v>
                </c:pt>
                <c:pt idx="173">
                  <c:v>1.7300000000000013</c:v>
                </c:pt>
                <c:pt idx="174">
                  <c:v>1.7400000000000013</c:v>
                </c:pt>
                <c:pt idx="175">
                  <c:v>1.7500000000000013</c:v>
                </c:pt>
                <c:pt idx="176">
                  <c:v>1.7600000000000013</c:v>
                </c:pt>
                <c:pt idx="177">
                  <c:v>1.7700000000000014</c:v>
                </c:pt>
                <c:pt idx="178">
                  <c:v>1.7800000000000014</c:v>
                </c:pt>
                <c:pt idx="179">
                  <c:v>1.7900000000000014</c:v>
                </c:pt>
                <c:pt idx="180">
                  <c:v>1.8000000000000014</c:v>
                </c:pt>
                <c:pt idx="181">
                  <c:v>1.8100000000000014</c:v>
                </c:pt>
                <c:pt idx="182">
                  <c:v>1.8200000000000014</c:v>
                </c:pt>
                <c:pt idx="183">
                  <c:v>1.8300000000000014</c:v>
                </c:pt>
                <c:pt idx="184">
                  <c:v>1.8400000000000014</c:v>
                </c:pt>
                <c:pt idx="185">
                  <c:v>1.8500000000000014</c:v>
                </c:pt>
                <c:pt idx="186">
                  <c:v>1.8600000000000014</c:v>
                </c:pt>
                <c:pt idx="187">
                  <c:v>1.8700000000000014</c:v>
                </c:pt>
                <c:pt idx="188">
                  <c:v>1.8800000000000014</c:v>
                </c:pt>
                <c:pt idx="189">
                  <c:v>1.8900000000000015</c:v>
                </c:pt>
                <c:pt idx="190">
                  <c:v>1.9000000000000015</c:v>
                </c:pt>
                <c:pt idx="191">
                  <c:v>1.9100000000000015</c:v>
                </c:pt>
                <c:pt idx="192">
                  <c:v>1.9200000000000015</c:v>
                </c:pt>
                <c:pt idx="193">
                  <c:v>1.9300000000000015</c:v>
                </c:pt>
                <c:pt idx="194">
                  <c:v>1.9400000000000015</c:v>
                </c:pt>
                <c:pt idx="195">
                  <c:v>1.9500000000000015</c:v>
                </c:pt>
                <c:pt idx="196">
                  <c:v>1.9600000000000015</c:v>
                </c:pt>
                <c:pt idx="197">
                  <c:v>1.9700000000000015</c:v>
                </c:pt>
                <c:pt idx="198">
                  <c:v>1.9800000000000015</c:v>
                </c:pt>
                <c:pt idx="199">
                  <c:v>1.9900000000000015</c:v>
                </c:pt>
                <c:pt idx="200">
                  <c:v>2.0000000000000013</c:v>
                </c:pt>
                <c:pt idx="201">
                  <c:v>2.1000000000000014</c:v>
                </c:pt>
                <c:pt idx="202">
                  <c:v>2.2000000000000015</c:v>
                </c:pt>
                <c:pt idx="203">
                  <c:v>2.3000000000000016</c:v>
                </c:pt>
                <c:pt idx="204">
                  <c:v>2.4000000000000017</c:v>
                </c:pt>
                <c:pt idx="205">
                  <c:v>2.5000000000000018</c:v>
                </c:pt>
                <c:pt idx="206">
                  <c:v>2.6000000000000019</c:v>
                </c:pt>
                <c:pt idx="207">
                  <c:v>2.700000000000002</c:v>
                </c:pt>
                <c:pt idx="208">
                  <c:v>2.800000000000002</c:v>
                </c:pt>
                <c:pt idx="209">
                  <c:v>2.9000000000000021</c:v>
                </c:pt>
                <c:pt idx="210">
                  <c:v>3.0000000000000022</c:v>
                </c:pt>
                <c:pt idx="211">
                  <c:v>3.1000000000000023</c:v>
                </c:pt>
                <c:pt idx="212">
                  <c:v>3.2000000000000024</c:v>
                </c:pt>
                <c:pt idx="213">
                  <c:v>3.3000000000000025</c:v>
                </c:pt>
                <c:pt idx="214">
                  <c:v>3.4000000000000026</c:v>
                </c:pt>
                <c:pt idx="215">
                  <c:v>3.5000000000000027</c:v>
                </c:pt>
                <c:pt idx="216">
                  <c:v>3.6000000000000028</c:v>
                </c:pt>
                <c:pt idx="217">
                  <c:v>3.7000000000000028</c:v>
                </c:pt>
                <c:pt idx="218">
                  <c:v>3.8000000000000029</c:v>
                </c:pt>
                <c:pt idx="219">
                  <c:v>3.900000000000003</c:v>
                </c:pt>
                <c:pt idx="220">
                  <c:v>4.0000000000000027</c:v>
                </c:pt>
                <c:pt idx="221">
                  <c:v>4.1000000000000023</c:v>
                </c:pt>
                <c:pt idx="222">
                  <c:v>4.200000000000002</c:v>
                </c:pt>
                <c:pt idx="223">
                  <c:v>4.3000000000000016</c:v>
                </c:pt>
                <c:pt idx="224">
                  <c:v>4.4000000000000012</c:v>
                </c:pt>
                <c:pt idx="225">
                  <c:v>4.5000000000000009</c:v>
                </c:pt>
                <c:pt idx="226">
                  <c:v>4.6000000000000005</c:v>
                </c:pt>
                <c:pt idx="227">
                  <c:v>4.7</c:v>
                </c:pt>
                <c:pt idx="228">
                  <c:v>4.8</c:v>
                </c:pt>
                <c:pt idx="229">
                  <c:v>4.8999999999999995</c:v>
                </c:pt>
                <c:pt idx="230">
                  <c:v>4.9999999999999991</c:v>
                </c:pt>
                <c:pt idx="231">
                  <c:v>5.0999999999999988</c:v>
                </c:pt>
                <c:pt idx="232">
                  <c:v>5.1999999999999984</c:v>
                </c:pt>
                <c:pt idx="233">
                  <c:v>5.299999999999998</c:v>
                </c:pt>
                <c:pt idx="234">
                  <c:v>5.3999999999999977</c:v>
                </c:pt>
                <c:pt idx="235">
                  <c:v>5.4999999999999973</c:v>
                </c:pt>
                <c:pt idx="236">
                  <c:v>5.599999999999997</c:v>
                </c:pt>
                <c:pt idx="237">
                  <c:v>5.6999999999999966</c:v>
                </c:pt>
                <c:pt idx="238">
                  <c:v>5.7999999999999963</c:v>
                </c:pt>
                <c:pt idx="239">
                  <c:v>5.8999999999999959</c:v>
                </c:pt>
                <c:pt idx="240">
                  <c:v>5.9999999999999956</c:v>
                </c:pt>
                <c:pt idx="241">
                  <c:v>6.0999999999999952</c:v>
                </c:pt>
                <c:pt idx="242">
                  <c:v>6.1999999999999948</c:v>
                </c:pt>
                <c:pt idx="243">
                  <c:v>6.2999999999999945</c:v>
                </c:pt>
                <c:pt idx="244">
                  <c:v>6.3999999999999941</c:v>
                </c:pt>
                <c:pt idx="245">
                  <c:v>6.4999999999999938</c:v>
                </c:pt>
                <c:pt idx="246">
                  <c:v>6.5999999999999934</c:v>
                </c:pt>
                <c:pt idx="247">
                  <c:v>6.6999999999999931</c:v>
                </c:pt>
                <c:pt idx="248">
                  <c:v>6.7999999999999927</c:v>
                </c:pt>
                <c:pt idx="249">
                  <c:v>6.8999999999999924</c:v>
                </c:pt>
                <c:pt idx="250">
                  <c:v>6.999999999999992</c:v>
                </c:pt>
                <c:pt idx="251">
                  <c:v>7.0999999999999917</c:v>
                </c:pt>
                <c:pt idx="252">
                  <c:v>7.1999999999999913</c:v>
                </c:pt>
                <c:pt idx="253">
                  <c:v>7.2999999999999909</c:v>
                </c:pt>
                <c:pt idx="254">
                  <c:v>7.3999999999999906</c:v>
                </c:pt>
                <c:pt idx="255">
                  <c:v>7.4999999999999902</c:v>
                </c:pt>
                <c:pt idx="256">
                  <c:v>7.5999999999999899</c:v>
                </c:pt>
                <c:pt idx="257">
                  <c:v>7.6999999999999895</c:v>
                </c:pt>
                <c:pt idx="258">
                  <c:v>7.7999999999999892</c:v>
                </c:pt>
                <c:pt idx="259">
                  <c:v>7.8999999999999888</c:v>
                </c:pt>
                <c:pt idx="260">
                  <c:v>7.9999999999999885</c:v>
                </c:pt>
                <c:pt idx="261">
                  <c:v>8.099999999999989</c:v>
                </c:pt>
                <c:pt idx="262">
                  <c:v>8.1999999999999886</c:v>
                </c:pt>
                <c:pt idx="263">
                  <c:v>8.2999999999999883</c:v>
                </c:pt>
                <c:pt idx="264">
                  <c:v>8.3999999999999879</c:v>
                </c:pt>
                <c:pt idx="265">
                  <c:v>8.4999999999999876</c:v>
                </c:pt>
                <c:pt idx="266">
                  <c:v>8.5999999999999872</c:v>
                </c:pt>
                <c:pt idx="267">
                  <c:v>8.6999999999999869</c:v>
                </c:pt>
                <c:pt idx="268">
                  <c:v>8.7999999999999865</c:v>
                </c:pt>
                <c:pt idx="269">
                  <c:v>8.8999999999999861</c:v>
                </c:pt>
                <c:pt idx="270">
                  <c:v>8.9999999999999858</c:v>
                </c:pt>
                <c:pt idx="271">
                  <c:v>9.0999999999999854</c:v>
                </c:pt>
                <c:pt idx="272">
                  <c:v>9.1999999999999851</c:v>
                </c:pt>
                <c:pt idx="273">
                  <c:v>9.2999999999999847</c:v>
                </c:pt>
                <c:pt idx="274">
                  <c:v>9.3999999999999844</c:v>
                </c:pt>
                <c:pt idx="275">
                  <c:v>9.499999999999984</c:v>
                </c:pt>
                <c:pt idx="276">
                  <c:v>9.5999999999999837</c:v>
                </c:pt>
                <c:pt idx="277">
                  <c:v>9.6999999999999833</c:v>
                </c:pt>
                <c:pt idx="278">
                  <c:v>9.7999999999999829</c:v>
                </c:pt>
                <c:pt idx="279">
                  <c:v>9.8999999999999826</c:v>
                </c:pt>
                <c:pt idx="280">
                  <c:v>9.9999999999999822</c:v>
                </c:pt>
                <c:pt idx="281">
                  <c:v>10.099999999999982</c:v>
                </c:pt>
                <c:pt idx="282">
                  <c:v>10.199999999999982</c:v>
                </c:pt>
                <c:pt idx="283">
                  <c:v>10.299999999999981</c:v>
                </c:pt>
                <c:pt idx="284">
                  <c:v>10.399999999999981</c:v>
                </c:pt>
                <c:pt idx="285">
                  <c:v>10.49999999999998</c:v>
                </c:pt>
                <c:pt idx="286">
                  <c:v>10.59999999999998</c:v>
                </c:pt>
                <c:pt idx="287">
                  <c:v>10.69999999999998</c:v>
                </c:pt>
                <c:pt idx="288">
                  <c:v>10.799999999999979</c:v>
                </c:pt>
                <c:pt idx="289">
                  <c:v>10.899999999999979</c:v>
                </c:pt>
                <c:pt idx="290">
                  <c:v>10.999999999999979</c:v>
                </c:pt>
                <c:pt idx="291">
                  <c:v>11.099999999999978</c:v>
                </c:pt>
                <c:pt idx="292">
                  <c:v>11.199999999999978</c:v>
                </c:pt>
                <c:pt idx="293">
                  <c:v>11.299999999999978</c:v>
                </c:pt>
                <c:pt idx="294">
                  <c:v>11.399999999999977</c:v>
                </c:pt>
                <c:pt idx="295">
                  <c:v>11.499999999999977</c:v>
                </c:pt>
                <c:pt idx="296">
                  <c:v>11.599999999999977</c:v>
                </c:pt>
                <c:pt idx="297">
                  <c:v>11.699999999999976</c:v>
                </c:pt>
                <c:pt idx="298">
                  <c:v>11.799999999999976</c:v>
                </c:pt>
                <c:pt idx="299">
                  <c:v>11.899999999999975</c:v>
                </c:pt>
                <c:pt idx="300">
                  <c:v>11.999999999999975</c:v>
                </c:pt>
                <c:pt idx="301">
                  <c:v>12.099999999999975</c:v>
                </c:pt>
                <c:pt idx="302">
                  <c:v>12.199999999999974</c:v>
                </c:pt>
                <c:pt idx="303">
                  <c:v>12.299999999999974</c:v>
                </c:pt>
                <c:pt idx="304">
                  <c:v>12.399999999999974</c:v>
                </c:pt>
                <c:pt idx="305">
                  <c:v>12.499999999999973</c:v>
                </c:pt>
                <c:pt idx="306">
                  <c:v>12.599999999999973</c:v>
                </c:pt>
                <c:pt idx="307">
                  <c:v>12.699999999999973</c:v>
                </c:pt>
                <c:pt idx="308">
                  <c:v>12.799999999999972</c:v>
                </c:pt>
                <c:pt idx="309">
                  <c:v>12.899999999999972</c:v>
                </c:pt>
                <c:pt idx="310">
                  <c:v>12.999999999999972</c:v>
                </c:pt>
                <c:pt idx="311">
                  <c:v>13.099999999999971</c:v>
                </c:pt>
                <c:pt idx="312">
                  <c:v>13.199999999999971</c:v>
                </c:pt>
                <c:pt idx="313">
                  <c:v>13.299999999999971</c:v>
                </c:pt>
                <c:pt idx="314">
                  <c:v>13.39999999999997</c:v>
                </c:pt>
                <c:pt idx="315">
                  <c:v>13.49999999999997</c:v>
                </c:pt>
                <c:pt idx="316">
                  <c:v>13.599999999999969</c:v>
                </c:pt>
                <c:pt idx="317">
                  <c:v>13.699999999999969</c:v>
                </c:pt>
                <c:pt idx="318">
                  <c:v>13.799999999999969</c:v>
                </c:pt>
                <c:pt idx="319">
                  <c:v>13.899999999999968</c:v>
                </c:pt>
                <c:pt idx="320">
                  <c:v>13.999999999999968</c:v>
                </c:pt>
                <c:pt idx="321">
                  <c:v>14.099999999999968</c:v>
                </c:pt>
                <c:pt idx="322">
                  <c:v>14.199999999999967</c:v>
                </c:pt>
                <c:pt idx="323">
                  <c:v>14.299999999999967</c:v>
                </c:pt>
                <c:pt idx="324">
                  <c:v>14.399999999999967</c:v>
                </c:pt>
                <c:pt idx="325">
                  <c:v>14.499999999999966</c:v>
                </c:pt>
                <c:pt idx="326">
                  <c:v>14.599999999999966</c:v>
                </c:pt>
                <c:pt idx="327">
                  <c:v>14.699999999999966</c:v>
                </c:pt>
                <c:pt idx="328">
                  <c:v>14.799999999999965</c:v>
                </c:pt>
                <c:pt idx="329">
                  <c:v>14.899999999999965</c:v>
                </c:pt>
                <c:pt idx="330">
                  <c:v>14.999999999999964</c:v>
                </c:pt>
                <c:pt idx="331">
                  <c:v>15.099999999999964</c:v>
                </c:pt>
                <c:pt idx="332">
                  <c:v>15.199999999999964</c:v>
                </c:pt>
                <c:pt idx="333">
                  <c:v>15.299999999999963</c:v>
                </c:pt>
                <c:pt idx="334">
                  <c:v>15.399999999999963</c:v>
                </c:pt>
                <c:pt idx="335">
                  <c:v>15.499999999999963</c:v>
                </c:pt>
                <c:pt idx="336">
                  <c:v>15.599999999999962</c:v>
                </c:pt>
                <c:pt idx="337">
                  <c:v>15.699999999999962</c:v>
                </c:pt>
                <c:pt idx="338">
                  <c:v>15.799999999999962</c:v>
                </c:pt>
                <c:pt idx="339">
                  <c:v>15.899999999999961</c:v>
                </c:pt>
                <c:pt idx="340">
                  <c:v>15.999999999999961</c:v>
                </c:pt>
                <c:pt idx="341">
                  <c:v>16.099999999999962</c:v>
                </c:pt>
                <c:pt idx="342">
                  <c:v>16.100099999999962</c:v>
                </c:pt>
                <c:pt idx="343">
                  <c:v>16.100199999999962</c:v>
                </c:pt>
                <c:pt idx="344">
                  <c:v>16.100299999999962</c:v>
                </c:pt>
                <c:pt idx="345">
                  <c:v>16.100399999999961</c:v>
                </c:pt>
                <c:pt idx="346">
                  <c:v>16.100499999999961</c:v>
                </c:pt>
                <c:pt idx="347">
                  <c:v>16.100599999999961</c:v>
                </c:pt>
                <c:pt idx="348">
                  <c:v>16.100699999999961</c:v>
                </c:pt>
                <c:pt idx="349">
                  <c:v>16.10079999999996</c:v>
                </c:pt>
                <c:pt idx="350">
                  <c:v>16.10089999999996</c:v>
                </c:pt>
                <c:pt idx="351">
                  <c:v>16.10099999999996</c:v>
                </c:pt>
                <c:pt idx="352">
                  <c:v>16.10109999999996</c:v>
                </c:pt>
                <c:pt idx="353">
                  <c:v>16.10119999999996</c:v>
                </c:pt>
                <c:pt idx="354">
                  <c:v>16.101299999999959</c:v>
                </c:pt>
                <c:pt idx="355">
                  <c:v>16.101399999999959</c:v>
                </c:pt>
                <c:pt idx="356">
                  <c:v>16.101499999999959</c:v>
                </c:pt>
                <c:pt idx="357">
                  <c:v>16.101599999999959</c:v>
                </c:pt>
                <c:pt idx="358">
                  <c:v>16.101699999999958</c:v>
                </c:pt>
                <c:pt idx="359">
                  <c:v>16.101799999999958</c:v>
                </c:pt>
                <c:pt idx="360">
                  <c:v>16.101899999999958</c:v>
                </c:pt>
                <c:pt idx="361">
                  <c:v>16.101999999999958</c:v>
                </c:pt>
                <c:pt idx="362">
                  <c:v>16.102099999999957</c:v>
                </c:pt>
                <c:pt idx="363">
                  <c:v>16.102199999999957</c:v>
                </c:pt>
                <c:pt idx="364">
                  <c:v>16.102299999999957</c:v>
                </c:pt>
                <c:pt idx="365">
                  <c:v>16.102399999999957</c:v>
                </c:pt>
                <c:pt idx="366">
                  <c:v>16.102499999999957</c:v>
                </c:pt>
                <c:pt idx="367">
                  <c:v>16.102599999999956</c:v>
                </c:pt>
                <c:pt idx="368">
                  <c:v>16.102699999999956</c:v>
                </c:pt>
                <c:pt idx="369">
                  <c:v>16.102799999999956</c:v>
                </c:pt>
                <c:pt idx="370">
                  <c:v>16.102899999999956</c:v>
                </c:pt>
                <c:pt idx="371">
                  <c:v>16.102999999999955</c:v>
                </c:pt>
                <c:pt idx="372">
                  <c:v>16.103099999999955</c:v>
                </c:pt>
                <c:pt idx="373">
                  <c:v>16.103199999999955</c:v>
                </c:pt>
                <c:pt idx="374">
                  <c:v>16.103299999999955</c:v>
                </c:pt>
                <c:pt idx="375">
                  <c:v>16.103399999999954</c:v>
                </c:pt>
                <c:pt idx="376">
                  <c:v>16.103499999999954</c:v>
                </c:pt>
                <c:pt idx="377">
                  <c:v>16.103599999999954</c:v>
                </c:pt>
                <c:pt idx="378">
                  <c:v>16.103699999999954</c:v>
                </c:pt>
                <c:pt idx="379">
                  <c:v>16.103799999999953</c:v>
                </c:pt>
                <c:pt idx="380">
                  <c:v>16.103899999999953</c:v>
                </c:pt>
                <c:pt idx="381">
                  <c:v>16.103999999999953</c:v>
                </c:pt>
                <c:pt idx="382">
                  <c:v>16.104099999999953</c:v>
                </c:pt>
                <c:pt idx="383">
                  <c:v>16.104199999999953</c:v>
                </c:pt>
                <c:pt idx="384">
                  <c:v>16.104299999999952</c:v>
                </c:pt>
                <c:pt idx="385">
                  <c:v>16.104399999999952</c:v>
                </c:pt>
                <c:pt idx="386">
                  <c:v>16.104499999999952</c:v>
                </c:pt>
                <c:pt idx="387">
                  <c:v>16.104599999999952</c:v>
                </c:pt>
                <c:pt idx="388">
                  <c:v>16.104699999999951</c:v>
                </c:pt>
                <c:pt idx="389">
                  <c:v>16.104799999999951</c:v>
                </c:pt>
                <c:pt idx="390">
                  <c:v>16.104899999999951</c:v>
                </c:pt>
                <c:pt idx="391">
                  <c:v>16.104999999999951</c:v>
                </c:pt>
                <c:pt idx="392">
                  <c:v>16.10509999999995</c:v>
                </c:pt>
                <c:pt idx="393">
                  <c:v>16.10519999999995</c:v>
                </c:pt>
                <c:pt idx="394">
                  <c:v>16.10529999999995</c:v>
                </c:pt>
                <c:pt idx="395">
                  <c:v>16.10539999999995</c:v>
                </c:pt>
                <c:pt idx="396">
                  <c:v>16.10549999999995</c:v>
                </c:pt>
                <c:pt idx="397">
                  <c:v>16.105599999999949</c:v>
                </c:pt>
                <c:pt idx="398">
                  <c:v>16.105699999999949</c:v>
                </c:pt>
                <c:pt idx="399">
                  <c:v>16.105799999999949</c:v>
                </c:pt>
                <c:pt idx="400">
                  <c:v>16.105899999999949</c:v>
                </c:pt>
                <c:pt idx="401">
                  <c:v>16.105999999999948</c:v>
                </c:pt>
                <c:pt idx="402">
                  <c:v>16.106099999999948</c:v>
                </c:pt>
                <c:pt idx="403">
                  <c:v>16.106199999999948</c:v>
                </c:pt>
                <c:pt idx="404">
                  <c:v>16.106299999999948</c:v>
                </c:pt>
                <c:pt idx="405">
                  <c:v>16.106399999999947</c:v>
                </c:pt>
                <c:pt idx="406">
                  <c:v>16.106499999999947</c:v>
                </c:pt>
                <c:pt idx="407">
                  <c:v>16.106599999999947</c:v>
                </c:pt>
                <c:pt idx="408">
                  <c:v>16.106699999999947</c:v>
                </c:pt>
                <c:pt idx="409">
                  <c:v>16.106799999999946</c:v>
                </c:pt>
                <c:pt idx="410">
                  <c:v>16.106899999999946</c:v>
                </c:pt>
                <c:pt idx="411">
                  <c:v>16.106999999999946</c:v>
                </c:pt>
                <c:pt idx="412">
                  <c:v>16.107099999999946</c:v>
                </c:pt>
                <c:pt idx="413">
                  <c:v>16.107199999999946</c:v>
                </c:pt>
                <c:pt idx="414">
                  <c:v>16.107299999999945</c:v>
                </c:pt>
                <c:pt idx="415">
                  <c:v>16.107399999999945</c:v>
                </c:pt>
                <c:pt idx="416">
                  <c:v>16.107499999999945</c:v>
                </c:pt>
                <c:pt idx="417">
                  <c:v>16.107599999999945</c:v>
                </c:pt>
                <c:pt idx="418">
                  <c:v>16.107699999999944</c:v>
                </c:pt>
                <c:pt idx="419">
                  <c:v>16.107799999999944</c:v>
                </c:pt>
                <c:pt idx="420">
                  <c:v>16.107899999999944</c:v>
                </c:pt>
                <c:pt idx="421">
                  <c:v>16.107999999999944</c:v>
                </c:pt>
                <c:pt idx="422">
                  <c:v>16.108099999999943</c:v>
                </c:pt>
                <c:pt idx="423">
                  <c:v>16.108199999999943</c:v>
                </c:pt>
                <c:pt idx="424">
                  <c:v>16.108299999999943</c:v>
                </c:pt>
                <c:pt idx="425">
                  <c:v>16.108399999999943</c:v>
                </c:pt>
                <c:pt idx="426">
                  <c:v>16.108499999999943</c:v>
                </c:pt>
                <c:pt idx="427">
                  <c:v>16.108599999999942</c:v>
                </c:pt>
                <c:pt idx="428">
                  <c:v>16.108699999999942</c:v>
                </c:pt>
                <c:pt idx="429">
                  <c:v>16.108799999999942</c:v>
                </c:pt>
                <c:pt idx="430">
                  <c:v>16.108899999999942</c:v>
                </c:pt>
                <c:pt idx="431">
                  <c:v>16.108999999999941</c:v>
                </c:pt>
                <c:pt idx="432">
                  <c:v>16.109099999999941</c:v>
                </c:pt>
                <c:pt idx="433">
                  <c:v>16.109199999999941</c:v>
                </c:pt>
                <c:pt idx="434">
                  <c:v>16.109299999999941</c:v>
                </c:pt>
                <c:pt idx="435">
                  <c:v>16.10939999999994</c:v>
                </c:pt>
                <c:pt idx="436">
                  <c:v>16.10949999999994</c:v>
                </c:pt>
                <c:pt idx="437">
                  <c:v>16.10959999999994</c:v>
                </c:pt>
                <c:pt idx="438">
                  <c:v>16.10969999999994</c:v>
                </c:pt>
                <c:pt idx="439">
                  <c:v>16.10979999999994</c:v>
                </c:pt>
                <c:pt idx="440">
                  <c:v>16.109899999999939</c:v>
                </c:pt>
                <c:pt idx="441">
                  <c:v>16.109999999999939</c:v>
                </c:pt>
                <c:pt idx="442">
                  <c:v>16.110099999999939</c:v>
                </c:pt>
                <c:pt idx="443">
                  <c:v>16.110199999999939</c:v>
                </c:pt>
                <c:pt idx="444">
                  <c:v>16.110299999999938</c:v>
                </c:pt>
                <c:pt idx="445">
                  <c:v>16.110399999999938</c:v>
                </c:pt>
                <c:pt idx="446">
                  <c:v>16.110499999999938</c:v>
                </c:pt>
                <c:pt idx="447">
                  <c:v>16.110599999999938</c:v>
                </c:pt>
                <c:pt idx="448">
                  <c:v>16.110699999999937</c:v>
                </c:pt>
                <c:pt idx="449">
                  <c:v>16.110799999999937</c:v>
                </c:pt>
                <c:pt idx="450">
                  <c:v>16.110899999999937</c:v>
                </c:pt>
                <c:pt idx="451">
                  <c:v>16.110999999999937</c:v>
                </c:pt>
                <c:pt idx="452">
                  <c:v>16.111099999999936</c:v>
                </c:pt>
                <c:pt idx="453">
                  <c:v>16.111199999999936</c:v>
                </c:pt>
                <c:pt idx="454">
                  <c:v>16.111299999999936</c:v>
                </c:pt>
                <c:pt idx="455">
                  <c:v>16.111399999999936</c:v>
                </c:pt>
                <c:pt idx="456">
                  <c:v>16.111499999999936</c:v>
                </c:pt>
                <c:pt idx="457">
                  <c:v>16.111599999999935</c:v>
                </c:pt>
                <c:pt idx="458">
                  <c:v>16.111699999999935</c:v>
                </c:pt>
                <c:pt idx="459">
                  <c:v>16.111799999999935</c:v>
                </c:pt>
                <c:pt idx="460">
                  <c:v>16.111899999999935</c:v>
                </c:pt>
                <c:pt idx="461">
                  <c:v>16.111999999999934</c:v>
                </c:pt>
                <c:pt idx="462">
                  <c:v>16.112099999999934</c:v>
                </c:pt>
                <c:pt idx="463">
                  <c:v>16.112199999999934</c:v>
                </c:pt>
                <c:pt idx="464">
                  <c:v>16.112299999999934</c:v>
                </c:pt>
                <c:pt idx="465">
                  <c:v>16.112399999999933</c:v>
                </c:pt>
                <c:pt idx="466">
                  <c:v>16.112499999999933</c:v>
                </c:pt>
                <c:pt idx="467">
                  <c:v>16.112599999999933</c:v>
                </c:pt>
                <c:pt idx="468">
                  <c:v>16.112699999999933</c:v>
                </c:pt>
                <c:pt idx="469">
                  <c:v>16.112799999999933</c:v>
                </c:pt>
                <c:pt idx="470">
                  <c:v>16.112899999999932</c:v>
                </c:pt>
                <c:pt idx="471">
                  <c:v>16.112999999999932</c:v>
                </c:pt>
                <c:pt idx="472">
                  <c:v>16.113099999999932</c:v>
                </c:pt>
                <c:pt idx="473">
                  <c:v>16.113199999999932</c:v>
                </c:pt>
                <c:pt idx="474">
                  <c:v>16.113299999999931</c:v>
                </c:pt>
                <c:pt idx="475">
                  <c:v>16.113399999999931</c:v>
                </c:pt>
                <c:pt idx="476">
                  <c:v>16.113499999999931</c:v>
                </c:pt>
                <c:pt idx="477">
                  <c:v>16.113599999999931</c:v>
                </c:pt>
                <c:pt idx="478">
                  <c:v>16.11369999999993</c:v>
                </c:pt>
                <c:pt idx="479">
                  <c:v>16.11379999999993</c:v>
                </c:pt>
                <c:pt idx="480">
                  <c:v>16.11389999999993</c:v>
                </c:pt>
                <c:pt idx="481">
                  <c:v>16.11399999999993</c:v>
                </c:pt>
                <c:pt idx="482">
                  <c:v>16.114099999999929</c:v>
                </c:pt>
                <c:pt idx="483">
                  <c:v>16.114199999999929</c:v>
                </c:pt>
                <c:pt idx="484">
                  <c:v>16.114299999999929</c:v>
                </c:pt>
                <c:pt idx="485">
                  <c:v>16.114399999999929</c:v>
                </c:pt>
                <c:pt idx="486">
                  <c:v>16.114499999999929</c:v>
                </c:pt>
                <c:pt idx="487">
                  <c:v>16.114599999999928</c:v>
                </c:pt>
                <c:pt idx="488">
                  <c:v>16.114699999999928</c:v>
                </c:pt>
                <c:pt idx="489">
                  <c:v>16.114799999999928</c:v>
                </c:pt>
                <c:pt idx="490">
                  <c:v>16.114899999999928</c:v>
                </c:pt>
                <c:pt idx="491">
                  <c:v>16.114999999999927</c:v>
                </c:pt>
                <c:pt idx="492">
                  <c:v>16.115099999999927</c:v>
                </c:pt>
                <c:pt idx="493">
                  <c:v>16.115199999999927</c:v>
                </c:pt>
                <c:pt idx="494">
                  <c:v>16.115299999999927</c:v>
                </c:pt>
                <c:pt idx="495">
                  <c:v>16.115399999999926</c:v>
                </c:pt>
                <c:pt idx="496">
                  <c:v>16.115499999999926</c:v>
                </c:pt>
                <c:pt idx="497">
                  <c:v>16.115599999999926</c:v>
                </c:pt>
                <c:pt idx="498">
                  <c:v>16.115699999999926</c:v>
                </c:pt>
                <c:pt idx="499">
                  <c:v>16.115799999999926</c:v>
                </c:pt>
                <c:pt idx="500">
                  <c:v>16.115899999999925</c:v>
                </c:pt>
                <c:pt idx="501">
                  <c:v>16.115999999999925</c:v>
                </c:pt>
                <c:pt idx="502">
                  <c:v>16.116099999999925</c:v>
                </c:pt>
                <c:pt idx="503">
                  <c:v>16.116199999999925</c:v>
                </c:pt>
                <c:pt idx="504">
                  <c:v>16.116299999999924</c:v>
                </c:pt>
                <c:pt idx="505">
                  <c:v>16.116399999999924</c:v>
                </c:pt>
                <c:pt idx="506">
                  <c:v>16.116499999999924</c:v>
                </c:pt>
                <c:pt idx="507">
                  <c:v>16.116599999999924</c:v>
                </c:pt>
                <c:pt idx="508">
                  <c:v>16.116699999999923</c:v>
                </c:pt>
                <c:pt idx="509">
                  <c:v>16.116799999999923</c:v>
                </c:pt>
                <c:pt idx="510">
                  <c:v>16.116899999999923</c:v>
                </c:pt>
                <c:pt idx="511">
                  <c:v>16.116999999999923</c:v>
                </c:pt>
                <c:pt idx="512">
                  <c:v>16.117099999999922</c:v>
                </c:pt>
                <c:pt idx="513">
                  <c:v>16.117199999999922</c:v>
                </c:pt>
                <c:pt idx="514">
                  <c:v>16.117299999999922</c:v>
                </c:pt>
                <c:pt idx="515">
                  <c:v>16.117399999999922</c:v>
                </c:pt>
                <c:pt idx="516">
                  <c:v>16.117499999999922</c:v>
                </c:pt>
                <c:pt idx="517">
                  <c:v>16.117599999999921</c:v>
                </c:pt>
                <c:pt idx="518">
                  <c:v>16.117699999999921</c:v>
                </c:pt>
                <c:pt idx="519">
                  <c:v>16.117799999999921</c:v>
                </c:pt>
                <c:pt idx="520">
                  <c:v>16.117899999999921</c:v>
                </c:pt>
                <c:pt idx="521">
                  <c:v>16.11799999999992</c:v>
                </c:pt>
                <c:pt idx="522">
                  <c:v>16.11809999999992</c:v>
                </c:pt>
                <c:pt idx="523">
                  <c:v>16.11819999999992</c:v>
                </c:pt>
                <c:pt idx="524">
                  <c:v>16.11829999999992</c:v>
                </c:pt>
                <c:pt idx="525">
                  <c:v>16.118399999999919</c:v>
                </c:pt>
                <c:pt idx="526">
                  <c:v>16.118499999999919</c:v>
                </c:pt>
                <c:pt idx="527">
                  <c:v>16.118599999999919</c:v>
                </c:pt>
                <c:pt idx="528">
                  <c:v>16.118699999999919</c:v>
                </c:pt>
                <c:pt idx="529">
                  <c:v>16.118799999999919</c:v>
                </c:pt>
                <c:pt idx="530">
                  <c:v>16.118899999999918</c:v>
                </c:pt>
                <c:pt idx="531">
                  <c:v>16.118999999999918</c:v>
                </c:pt>
                <c:pt idx="532">
                  <c:v>16.119099999999918</c:v>
                </c:pt>
                <c:pt idx="533">
                  <c:v>16.119199999999918</c:v>
                </c:pt>
                <c:pt idx="534">
                  <c:v>16.119299999999917</c:v>
                </c:pt>
                <c:pt idx="535">
                  <c:v>16.119399999999917</c:v>
                </c:pt>
                <c:pt idx="536">
                  <c:v>16.119499999999917</c:v>
                </c:pt>
                <c:pt idx="537">
                  <c:v>16.119599999999917</c:v>
                </c:pt>
                <c:pt idx="538">
                  <c:v>16.119699999999916</c:v>
                </c:pt>
                <c:pt idx="539">
                  <c:v>16.119799999999916</c:v>
                </c:pt>
                <c:pt idx="540">
                  <c:v>16.119899999999916</c:v>
                </c:pt>
                <c:pt idx="541">
                  <c:v>16.119999999999916</c:v>
                </c:pt>
                <c:pt idx="542">
                  <c:v>16.120099999999915</c:v>
                </c:pt>
                <c:pt idx="543">
                  <c:v>16.120199999999915</c:v>
                </c:pt>
                <c:pt idx="544">
                  <c:v>16.120299999999915</c:v>
                </c:pt>
                <c:pt idx="545">
                  <c:v>16.120399999999915</c:v>
                </c:pt>
                <c:pt idx="546">
                  <c:v>16.120499999999915</c:v>
                </c:pt>
                <c:pt idx="547">
                  <c:v>16.120599999999914</c:v>
                </c:pt>
                <c:pt idx="548">
                  <c:v>16.120699999999914</c:v>
                </c:pt>
                <c:pt idx="549">
                  <c:v>16.120799999999914</c:v>
                </c:pt>
                <c:pt idx="550">
                  <c:v>16.120899999999914</c:v>
                </c:pt>
                <c:pt idx="551">
                  <c:v>16.120999999999913</c:v>
                </c:pt>
                <c:pt idx="552">
                  <c:v>16.121099999999913</c:v>
                </c:pt>
                <c:pt idx="553">
                  <c:v>16.121199999999913</c:v>
                </c:pt>
                <c:pt idx="554">
                  <c:v>16.121299999999913</c:v>
                </c:pt>
                <c:pt idx="555">
                  <c:v>16.121399999999912</c:v>
                </c:pt>
                <c:pt idx="556">
                  <c:v>16.121499999999912</c:v>
                </c:pt>
                <c:pt idx="557">
                  <c:v>16.121599999999912</c:v>
                </c:pt>
                <c:pt idx="558">
                  <c:v>16.121699999999912</c:v>
                </c:pt>
                <c:pt idx="559">
                  <c:v>16.121799999999912</c:v>
                </c:pt>
                <c:pt idx="560">
                  <c:v>16.121899999999911</c:v>
                </c:pt>
                <c:pt idx="561">
                  <c:v>16.121999999999911</c:v>
                </c:pt>
                <c:pt idx="562">
                  <c:v>16.122099999999911</c:v>
                </c:pt>
                <c:pt idx="563">
                  <c:v>16.122199999999911</c:v>
                </c:pt>
                <c:pt idx="564">
                  <c:v>16.12229999999991</c:v>
                </c:pt>
                <c:pt idx="565">
                  <c:v>16.12239999999991</c:v>
                </c:pt>
                <c:pt idx="566">
                  <c:v>16.12249999999991</c:v>
                </c:pt>
                <c:pt idx="567">
                  <c:v>16.12259999999991</c:v>
                </c:pt>
                <c:pt idx="568">
                  <c:v>16.122699999999909</c:v>
                </c:pt>
                <c:pt idx="569">
                  <c:v>16.122799999999909</c:v>
                </c:pt>
                <c:pt idx="570">
                  <c:v>16.122899999999909</c:v>
                </c:pt>
                <c:pt idx="571">
                  <c:v>16.122999999999909</c:v>
                </c:pt>
                <c:pt idx="572">
                  <c:v>16.123099999999909</c:v>
                </c:pt>
                <c:pt idx="573">
                  <c:v>16.123199999999908</c:v>
                </c:pt>
                <c:pt idx="574">
                  <c:v>16.123299999999908</c:v>
                </c:pt>
                <c:pt idx="575">
                  <c:v>16.123399999999908</c:v>
                </c:pt>
                <c:pt idx="576">
                  <c:v>16.123499999999908</c:v>
                </c:pt>
                <c:pt idx="577">
                  <c:v>16.123599999999907</c:v>
                </c:pt>
                <c:pt idx="578">
                  <c:v>16.123699999999907</c:v>
                </c:pt>
                <c:pt idx="579">
                  <c:v>16.123799999999907</c:v>
                </c:pt>
                <c:pt idx="580">
                  <c:v>16.123899999999907</c:v>
                </c:pt>
                <c:pt idx="581">
                  <c:v>16.123999999999906</c:v>
                </c:pt>
                <c:pt idx="582">
                  <c:v>16.124099999999906</c:v>
                </c:pt>
                <c:pt idx="583">
                  <c:v>16.124199999999906</c:v>
                </c:pt>
                <c:pt idx="584">
                  <c:v>16.124299999999906</c:v>
                </c:pt>
                <c:pt idx="585">
                  <c:v>16.124399999999905</c:v>
                </c:pt>
                <c:pt idx="586">
                  <c:v>16.124499999999905</c:v>
                </c:pt>
                <c:pt idx="587">
                  <c:v>16.124599999999905</c:v>
                </c:pt>
                <c:pt idx="588">
                  <c:v>16.124699999999905</c:v>
                </c:pt>
                <c:pt idx="589">
                  <c:v>16.124799999999905</c:v>
                </c:pt>
                <c:pt idx="590">
                  <c:v>16.124899999999904</c:v>
                </c:pt>
                <c:pt idx="591">
                  <c:v>16.124999999999904</c:v>
                </c:pt>
                <c:pt idx="592">
                  <c:v>16.125099999999904</c:v>
                </c:pt>
                <c:pt idx="593">
                  <c:v>16.125199999999904</c:v>
                </c:pt>
                <c:pt idx="594">
                  <c:v>16.125299999999903</c:v>
                </c:pt>
                <c:pt idx="595">
                  <c:v>16.125399999999903</c:v>
                </c:pt>
                <c:pt idx="596">
                  <c:v>16.125499999999903</c:v>
                </c:pt>
                <c:pt idx="597">
                  <c:v>16.125599999999903</c:v>
                </c:pt>
                <c:pt idx="598">
                  <c:v>16.125699999999902</c:v>
                </c:pt>
                <c:pt idx="599">
                  <c:v>16.125799999999902</c:v>
                </c:pt>
                <c:pt idx="600">
                  <c:v>16.125899999999902</c:v>
                </c:pt>
                <c:pt idx="601">
                  <c:v>16.125999999999902</c:v>
                </c:pt>
                <c:pt idx="602">
                  <c:v>16.126099999999902</c:v>
                </c:pt>
                <c:pt idx="603">
                  <c:v>16.126199999999901</c:v>
                </c:pt>
                <c:pt idx="604">
                  <c:v>16.126299999999901</c:v>
                </c:pt>
                <c:pt idx="605">
                  <c:v>16.126399999999901</c:v>
                </c:pt>
                <c:pt idx="606">
                  <c:v>16.126499999999901</c:v>
                </c:pt>
                <c:pt idx="607">
                  <c:v>16.1265999999999</c:v>
                </c:pt>
                <c:pt idx="608">
                  <c:v>16.1266999999999</c:v>
                </c:pt>
                <c:pt idx="609">
                  <c:v>16.1267999999999</c:v>
                </c:pt>
                <c:pt idx="610">
                  <c:v>16.1268999999999</c:v>
                </c:pt>
                <c:pt idx="611">
                  <c:v>16.126999999999899</c:v>
                </c:pt>
                <c:pt idx="612">
                  <c:v>16.127099999999899</c:v>
                </c:pt>
                <c:pt idx="613">
                  <c:v>16.127199999999899</c:v>
                </c:pt>
                <c:pt idx="614">
                  <c:v>16.127299999999899</c:v>
                </c:pt>
                <c:pt idx="615">
                  <c:v>16.127399999999898</c:v>
                </c:pt>
                <c:pt idx="616">
                  <c:v>16.127499999999898</c:v>
                </c:pt>
                <c:pt idx="617">
                  <c:v>16.127599999999898</c:v>
                </c:pt>
                <c:pt idx="618">
                  <c:v>16.127699999999898</c:v>
                </c:pt>
                <c:pt idx="619">
                  <c:v>16.127799999999898</c:v>
                </c:pt>
                <c:pt idx="620">
                  <c:v>16.127899999999897</c:v>
                </c:pt>
                <c:pt idx="621">
                  <c:v>16.127999999999897</c:v>
                </c:pt>
                <c:pt idx="622">
                  <c:v>16.128099999999897</c:v>
                </c:pt>
                <c:pt idx="623">
                  <c:v>16.128199999999897</c:v>
                </c:pt>
                <c:pt idx="624">
                  <c:v>16.128299999999896</c:v>
                </c:pt>
                <c:pt idx="625">
                  <c:v>16.128399999999896</c:v>
                </c:pt>
                <c:pt idx="626">
                  <c:v>16.128499999999896</c:v>
                </c:pt>
                <c:pt idx="627">
                  <c:v>16.128599999999896</c:v>
                </c:pt>
                <c:pt idx="628">
                  <c:v>16.128699999999895</c:v>
                </c:pt>
                <c:pt idx="629">
                  <c:v>16.128799999999895</c:v>
                </c:pt>
                <c:pt idx="630">
                  <c:v>16.128899999999895</c:v>
                </c:pt>
                <c:pt idx="631">
                  <c:v>16.128999999999895</c:v>
                </c:pt>
                <c:pt idx="632">
                  <c:v>16.129099999999895</c:v>
                </c:pt>
                <c:pt idx="633">
                  <c:v>16.129199999999894</c:v>
                </c:pt>
                <c:pt idx="634">
                  <c:v>16.129299999999894</c:v>
                </c:pt>
                <c:pt idx="635">
                  <c:v>16.129399999999894</c:v>
                </c:pt>
                <c:pt idx="636">
                  <c:v>16.129499999999894</c:v>
                </c:pt>
                <c:pt idx="637">
                  <c:v>16.129599999999893</c:v>
                </c:pt>
                <c:pt idx="638">
                  <c:v>16.129699999999893</c:v>
                </c:pt>
                <c:pt idx="639">
                  <c:v>16.129799999999893</c:v>
                </c:pt>
                <c:pt idx="640">
                  <c:v>16.129899999999893</c:v>
                </c:pt>
                <c:pt idx="641">
                  <c:v>16.129999999999892</c:v>
                </c:pt>
                <c:pt idx="642">
                  <c:v>16.130099999999892</c:v>
                </c:pt>
                <c:pt idx="643">
                  <c:v>16.130199999999892</c:v>
                </c:pt>
                <c:pt idx="644">
                  <c:v>16.130299999999892</c:v>
                </c:pt>
                <c:pt idx="645">
                  <c:v>16.130399999999891</c:v>
                </c:pt>
                <c:pt idx="646">
                  <c:v>16.130499999999891</c:v>
                </c:pt>
                <c:pt idx="647">
                  <c:v>16.130599999999891</c:v>
                </c:pt>
                <c:pt idx="648">
                  <c:v>16.130699999999891</c:v>
                </c:pt>
                <c:pt idx="649">
                  <c:v>16.130799999999891</c:v>
                </c:pt>
                <c:pt idx="650">
                  <c:v>16.13089999999989</c:v>
                </c:pt>
                <c:pt idx="651">
                  <c:v>16.13099999999989</c:v>
                </c:pt>
                <c:pt idx="652">
                  <c:v>16.13109999999989</c:v>
                </c:pt>
                <c:pt idx="653">
                  <c:v>16.13119999999989</c:v>
                </c:pt>
                <c:pt idx="654">
                  <c:v>16.131299999999889</c:v>
                </c:pt>
                <c:pt idx="655">
                  <c:v>16.131399999999889</c:v>
                </c:pt>
                <c:pt idx="656">
                  <c:v>16.131499999999889</c:v>
                </c:pt>
                <c:pt idx="657">
                  <c:v>16.131599999999889</c:v>
                </c:pt>
                <c:pt idx="658">
                  <c:v>16.131699999999888</c:v>
                </c:pt>
                <c:pt idx="659">
                  <c:v>16.131799999999888</c:v>
                </c:pt>
                <c:pt idx="660">
                  <c:v>16.131899999999888</c:v>
                </c:pt>
                <c:pt idx="661">
                  <c:v>16.131999999999888</c:v>
                </c:pt>
                <c:pt idx="662">
                  <c:v>16.132099999999888</c:v>
                </c:pt>
                <c:pt idx="663">
                  <c:v>16.132199999999887</c:v>
                </c:pt>
                <c:pt idx="664">
                  <c:v>16.132299999999887</c:v>
                </c:pt>
                <c:pt idx="665">
                  <c:v>16.132399999999887</c:v>
                </c:pt>
                <c:pt idx="666">
                  <c:v>16.132499999999887</c:v>
                </c:pt>
                <c:pt idx="667">
                  <c:v>16.132599999999886</c:v>
                </c:pt>
                <c:pt idx="668">
                  <c:v>16.132699999999886</c:v>
                </c:pt>
                <c:pt idx="669">
                  <c:v>16.132799999999886</c:v>
                </c:pt>
                <c:pt idx="670">
                  <c:v>16.132899999999886</c:v>
                </c:pt>
                <c:pt idx="671">
                  <c:v>16.132999999999885</c:v>
                </c:pt>
                <c:pt idx="672">
                  <c:v>16.133099999999885</c:v>
                </c:pt>
                <c:pt idx="673">
                  <c:v>16.133199999999885</c:v>
                </c:pt>
                <c:pt idx="674">
                  <c:v>16.133299999999885</c:v>
                </c:pt>
                <c:pt idx="675">
                  <c:v>16.133399999999884</c:v>
                </c:pt>
                <c:pt idx="676">
                  <c:v>16.133499999999884</c:v>
                </c:pt>
                <c:pt idx="677">
                  <c:v>16.133599999999884</c:v>
                </c:pt>
                <c:pt idx="678">
                  <c:v>16.133699999999884</c:v>
                </c:pt>
                <c:pt idx="679">
                  <c:v>16.133799999999884</c:v>
                </c:pt>
                <c:pt idx="680">
                  <c:v>16.133899999999883</c:v>
                </c:pt>
                <c:pt idx="681">
                  <c:v>16.133999999999883</c:v>
                </c:pt>
                <c:pt idx="682">
                  <c:v>16.134099999999883</c:v>
                </c:pt>
                <c:pt idx="683">
                  <c:v>16.134199999999883</c:v>
                </c:pt>
                <c:pt idx="684">
                  <c:v>16.134299999999882</c:v>
                </c:pt>
                <c:pt idx="685">
                  <c:v>16.134399999999882</c:v>
                </c:pt>
                <c:pt idx="686">
                  <c:v>16.134499999999882</c:v>
                </c:pt>
                <c:pt idx="687">
                  <c:v>16.134599999999882</c:v>
                </c:pt>
                <c:pt idx="688">
                  <c:v>16.134699999999881</c:v>
                </c:pt>
                <c:pt idx="689">
                  <c:v>16.134799999999881</c:v>
                </c:pt>
                <c:pt idx="690">
                  <c:v>16.134899999999881</c:v>
                </c:pt>
                <c:pt idx="691">
                  <c:v>16.134999999999881</c:v>
                </c:pt>
                <c:pt idx="692">
                  <c:v>16.135099999999881</c:v>
                </c:pt>
                <c:pt idx="693">
                  <c:v>16.13519999999988</c:v>
                </c:pt>
                <c:pt idx="694">
                  <c:v>16.13529999999988</c:v>
                </c:pt>
                <c:pt idx="695">
                  <c:v>16.13539999999988</c:v>
                </c:pt>
                <c:pt idx="696">
                  <c:v>16.13549999999988</c:v>
                </c:pt>
                <c:pt idx="697">
                  <c:v>16.135599999999879</c:v>
                </c:pt>
                <c:pt idx="698">
                  <c:v>16.135699999999879</c:v>
                </c:pt>
                <c:pt idx="699">
                  <c:v>16.135799999999879</c:v>
                </c:pt>
                <c:pt idx="700">
                  <c:v>16.135899999999879</c:v>
                </c:pt>
                <c:pt idx="701">
                  <c:v>16.135999999999878</c:v>
                </c:pt>
                <c:pt idx="702">
                  <c:v>16.136099999999878</c:v>
                </c:pt>
                <c:pt idx="703">
                  <c:v>16.136199999999878</c:v>
                </c:pt>
                <c:pt idx="704">
                  <c:v>16.136299999999878</c:v>
                </c:pt>
                <c:pt idx="705">
                  <c:v>16.136399999999878</c:v>
                </c:pt>
                <c:pt idx="706">
                  <c:v>16.136499999999877</c:v>
                </c:pt>
                <c:pt idx="707">
                  <c:v>16.136599999999877</c:v>
                </c:pt>
                <c:pt idx="708">
                  <c:v>16.136699999999877</c:v>
                </c:pt>
                <c:pt idx="709">
                  <c:v>16.136799999999877</c:v>
                </c:pt>
                <c:pt idx="710">
                  <c:v>16.136899999999876</c:v>
                </c:pt>
                <c:pt idx="711">
                  <c:v>16.136999999999876</c:v>
                </c:pt>
                <c:pt idx="712">
                  <c:v>16.137099999999876</c:v>
                </c:pt>
                <c:pt idx="713">
                  <c:v>16.137199999999876</c:v>
                </c:pt>
                <c:pt idx="714">
                  <c:v>16.137299999999875</c:v>
                </c:pt>
                <c:pt idx="715">
                  <c:v>16.137399999999875</c:v>
                </c:pt>
                <c:pt idx="716">
                  <c:v>16.137499999999875</c:v>
                </c:pt>
                <c:pt idx="717">
                  <c:v>16.137599999999875</c:v>
                </c:pt>
                <c:pt idx="718">
                  <c:v>16.137699999999874</c:v>
                </c:pt>
                <c:pt idx="719">
                  <c:v>16.137799999999874</c:v>
                </c:pt>
                <c:pt idx="720">
                  <c:v>16.137899999999874</c:v>
                </c:pt>
                <c:pt idx="721">
                  <c:v>16.137999999999874</c:v>
                </c:pt>
                <c:pt idx="722">
                  <c:v>16.138099999999874</c:v>
                </c:pt>
                <c:pt idx="723">
                  <c:v>16.138199999999873</c:v>
                </c:pt>
                <c:pt idx="724">
                  <c:v>16.138299999999873</c:v>
                </c:pt>
                <c:pt idx="725">
                  <c:v>16.138399999999873</c:v>
                </c:pt>
                <c:pt idx="726">
                  <c:v>16.138499999999873</c:v>
                </c:pt>
                <c:pt idx="727">
                  <c:v>16.138599999999872</c:v>
                </c:pt>
                <c:pt idx="728">
                  <c:v>16.138699999999872</c:v>
                </c:pt>
                <c:pt idx="729">
                  <c:v>16.138799999999872</c:v>
                </c:pt>
                <c:pt idx="730">
                  <c:v>16.138899999999872</c:v>
                </c:pt>
                <c:pt idx="731">
                  <c:v>16.138999999999871</c:v>
                </c:pt>
                <c:pt idx="732">
                  <c:v>16.139099999999871</c:v>
                </c:pt>
                <c:pt idx="733">
                  <c:v>16.139199999999871</c:v>
                </c:pt>
                <c:pt idx="734">
                  <c:v>16.139299999999871</c:v>
                </c:pt>
                <c:pt idx="735">
                  <c:v>16.139399999999871</c:v>
                </c:pt>
                <c:pt idx="736">
                  <c:v>16.13949999999987</c:v>
                </c:pt>
                <c:pt idx="737">
                  <c:v>16.13959999999987</c:v>
                </c:pt>
                <c:pt idx="738">
                  <c:v>16.13969999999987</c:v>
                </c:pt>
                <c:pt idx="739">
                  <c:v>16.13979999999987</c:v>
                </c:pt>
                <c:pt idx="740">
                  <c:v>16.139899999999869</c:v>
                </c:pt>
                <c:pt idx="741">
                  <c:v>16.139999999999869</c:v>
                </c:pt>
                <c:pt idx="742">
                  <c:v>16.140099999999869</c:v>
                </c:pt>
                <c:pt idx="743">
                  <c:v>16.140199999999869</c:v>
                </c:pt>
                <c:pt idx="744">
                  <c:v>16.140299999999868</c:v>
                </c:pt>
                <c:pt idx="745">
                  <c:v>16.140399999999868</c:v>
                </c:pt>
                <c:pt idx="746">
                  <c:v>16.140499999999868</c:v>
                </c:pt>
                <c:pt idx="747">
                  <c:v>16.140599999999868</c:v>
                </c:pt>
                <c:pt idx="748">
                  <c:v>16.140699999999867</c:v>
                </c:pt>
                <c:pt idx="749">
                  <c:v>16.140799999999867</c:v>
                </c:pt>
                <c:pt idx="750">
                  <c:v>16.140899999999867</c:v>
                </c:pt>
                <c:pt idx="751">
                  <c:v>16.140999999999867</c:v>
                </c:pt>
                <c:pt idx="752">
                  <c:v>16.141099999999867</c:v>
                </c:pt>
                <c:pt idx="753">
                  <c:v>16.141199999999866</c:v>
                </c:pt>
                <c:pt idx="754">
                  <c:v>16.141299999999866</c:v>
                </c:pt>
                <c:pt idx="755">
                  <c:v>16.141399999999866</c:v>
                </c:pt>
                <c:pt idx="756">
                  <c:v>16.141499999999866</c:v>
                </c:pt>
                <c:pt idx="757">
                  <c:v>16.141599999999865</c:v>
                </c:pt>
                <c:pt idx="758">
                  <c:v>16.141699999999865</c:v>
                </c:pt>
                <c:pt idx="759">
                  <c:v>16.141799999999865</c:v>
                </c:pt>
                <c:pt idx="760">
                  <c:v>16.141899999999865</c:v>
                </c:pt>
                <c:pt idx="761">
                  <c:v>16.141999999999864</c:v>
                </c:pt>
                <c:pt idx="762">
                  <c:v>16.142099999999864</c:v>
                </c:pt>
                <c:pt idx="763">
                  <c:v>16.142199999999864</c:v>
                </c:pt>
                <c:pt idx="764">
                  <c:v>16.142299999999864</c:v>
                </c:pt>
                <c:pt idx="765">
                  <c:v>16.142399999999864</c:v>
                </c:pt>
                <c:pt idx="766">
                  <c:v>16.142499999999863</c:v>
                </c:pt>
                <c:pt idx="767">
                  <c:v>16.142599999999863</c:v>
                </c:pt>
                <c:pt idx="768">
                  <c:v>16.142699999999863</c:v>
                </c:pt>
                <c:pt idx="769">
                  <c:v>16.142799999999863</c:v>
                </c:pt>
                <c:pt idx="770">
                  <c:v>16.142899999999862</c:v>
                </c:pt>
                <c:pt idx="771">
                  <c:v>16.142999999999862</c:v>
                </c:pt>
                <c:pt idx="772">
                  <c:v>16.143099999999862</c:v>
                </c:pt>
                <c:pt idx="773">
                  <c:v>16.143199999999862</c:v>
                </c:pt>
                <c:pt idx="774">
                  <c:v>16.143299999999861</c:v>
                </c:pt>
                <c:pt idx="775">
                  <c:v>16.143399999999861</c:v>
                </c:pt>
                <c:pt idx="776">
                  <c:v>16.143499999999861</c:v>
                </c:pt>
                <c:pt idx="777">
                  <c:v>16.143599999999861</c:v>
                </c:pt>
                <c:pt idx="778">
                  <c:v>16.14369999999986</c:v>
                </c:pt>
                <c:pt idx="779">
                  <c:v>16.14379999999986</c:v>
                </c:pt>
                <c:pt idx="780">
                  <c:v>16.14389999999986</c:v>
                </c:pt>
                <c:pt idx="781">
                  <c:v>16.14399999999986</c:v>
                </c:pt>
                <c:pt idx="782">
                  <c:v>16.14409999999986</c:v>
                </c:pt>
                <c:pt idx="783">
                  <c:v>16.144199999999859</c:v>
                </c:pt>
                <c:pt idx="784">
                  <c:v>16.144299999999859</c:v>
                </c:pt>
                <c:pt idx="785">
                  <c:v>16.144399999999859</c:v>
                </c:pt>
                <c:pt idx="786">
                  <c:v>16.144499999999859</c:v>
                </c:pt>
                <c:pt idx="787">
                  <c:v>16.144599999999858</c:v>
                </c:pt>
                <c:pt idx="788">
                  <c:v>16.144699999999858</c:v>
                </c:pt>
                <c:pt idx="789">
                  <c:v>16.144799999999858</c:v>
                </c:pt>
                <c:pt idx="790">
                  <c:v>16.144899999999858</c:v>
                </c:pt>
                <c:pt idx="791">
                  <c:v>16.144999999999857</c:v>
                </c:pt>
                <c:pt idx="792">
                  <c:v>16.145099999999857</c:v>
                </c:pt>
                <c:pt idx="793">
                  <c:v>16.145199999999857</c:v>
                </c:pt>
                <c:pt idx="794">
                  <c:v>16.145299999999857</c:v>
                </c:pt>
                <c:pt idx="795">
                  <c:v>16.145399999999857</c:v>
                </c:pt>
                <c:pt idx="796">
                  <c:v>16.145499999999856</c:v>
                </c:pt>
                <c:pt idx="797">
                  <c:v>16.145599999999856</c:v>
                </c:pt>
                <c:pt idx="798">
                  <c:v>16.145699999999856</c:v>
                </c:pt>
                <c:pt idx="799">
                  <c:v>16.145799999999856</c:v>
                </c:pt>
                <c:pt idx="800">
                  <c:v>16.145899999999855</c:v>
                </c:pt>
                <c:pt idx="801">
                  <c:v>16.145999999999855</c:v>
                </c:pt>
                <c:pt idx="802">
                  <c:v>16.146099999999855</c:v>
                </c:pt>
                <c:pt idx="803">
                  <c:v>16.146199999999855</c:v>
                </c:pt>
                <c:pt idx="804">
                  <c:v>16.146299999999854</c:v>
                </c:pt>
                <c:pt idx="805">
                  <c:v>16.146399999999854</c:v>
                </c:pt>
                <c:pt idx="806">
                  <c:v>16.146499999999854</c:v>
                </c:pt>
                <c:pt idx="807">
                  <c:v>16.146599999999854</c:v>
                </c:pt>
                <c:pt idx="808">
                  <c:v>16.146699999999854</c:v>
                </c:pt>
                <c:pt idx="809">
                  <c:v>16.146799999999853</c:v>
                </c:pt>
                <c:pt idx="810">
                  <c:v>16.146899999999853</c:v>
                </c:pt>
                <c:pt idx="811">
                  <c:v>16.146999999999853</c:v>
                </c:pt>
                <c:pt idx="812">
                  <c:v>16.147099999999853</c:v>
                </c:pt>
                <c:pt idx="813">
                  <c:v>16.147199999999852</c:v>
                </c:pt>
                <c:pt idx="814">
                  <c:v>16.147299999999852</c:v>
                </c:pt>
                <c:pt idx="815">
                  <c:v>16.147399999999852</c:v>
                </c:pt>
                <c:pt idx="816">
                  <c:v>16.147499999999852</c:v>
                </c:pt>
                <c:pt idx="817">
                  <c:v>16.147599999999851</c:v>
                </c:pt>
                <c:pt idx="818">
                  <c:v>16.147699999999851</c:v>
                </c:pt>
                <c:pt idx="819">
                  <c:v>16.147799999999851</c:v>
                </c:pt>
                <c:pt idx="820">
                  <c:v>16.147899999999851</c:v>
                </c:pt>
                <c:pt idx="821">
                  <c:v>16.14799999999985</c:v>
                </c:pt>
                <c:pt idx="822">
                  <c:v>16.14809999999985</c:v>
                </c:pt>
                <c:pt idx="823">
                  <c:v>16.14819999999985</c:v>
                </c:pt>
                <c:pt idx="824">
                  <c:v>16.14829999999985</c:v>
                </c:pt>
                <c:pt idx="825">
                  <c:v>16.14839999999985</c:v>
                </c:pt>
                <c:pt idx="826">
                  <c:v>16.148499999999849</c:v>
                </c:pt>
                <c:pt idx="827">
                  <c:v>16.148599999999849</c:v>
                </c:pt>
                <c:pt idx="828">
                  <c:v>16.148699999999849</c:v>
                </c:pt>
                <c:pt idx="829">
                  <c:v>16.148799999999849</c:v>
                </c:pt>
                <c:pt idx="830">
                  <c:v>16.148899999999848</c:v>
                </c:pt>
                <c:pt idx="831">
                  <c:v>16.148999999999848</c:v>
                </c:pt>
                <c:pt idx="832">
                  <c:v>16.149099999999848</c:v>
                </c:pt>
                <c:pt idx="833">
                  <c:v>16.149199999999848</c:v>
                </c:pt>
                <c:pt idx="834">
                  <c:v>16.149299999999847</c:v>
                </c:pt>
                <c:pt idx="835">
                  <c:v>16.149399999999847</c:v>
                </c:pt>
                <c:pt idx="836">
                  <c:v>16.149499999999847</c:v>
                </c:pt>
                <c:pt idx="837">
                  <c:v>16.149599999999847</c:v>
                </c:pt>
                <c:pt idx="838">
                  <c:v>16.149699999999847</c:v>
                </c:pt>
                <c:pt idx="839">
                  <c:v>16.149799999999846</c:v>
                </c:pt>
                <c:pt idx="840">
                  <c:v>16.149899999999846</c:v>
                </c:pt>
                <c:pt idx="841">
                  <c:v>16.149999999999846</c:v>
                </c:pt>
                <c:pt idx="842">
                  <c:v>16.150099999999846</c:v>
                </c:pt>
                <c:pt idx="843">
                  <c:v>16.150199999999845</c:v>
                </c:pt>
                <c:pt idx="844">
                  <c:v>16.150299999999845</c:v>
                </c:pt>
                <c:pt idx="845">
                  <c:v>16.150399999999845</c:v>
                </c:pt>
                <c:pt idx="846">
                  <c:v>16.150499999999845</c:v>
                </c:pt>
                <c:pt idx="847">
                  <c:v>16.150599999999844</c:v>
                </c:pt>
                <c:pt idx="848">
                  <c:v>16.150699999999844</c:v>
                </c:pt>
                <c:pt idx="849">
                  <c:v>16.150799999999844</c:v>
                </c:pt>
                <c:pt idx="850">
                  <c:v>16.150899999999844</c:v>
                </c:pt>
                <c:pt idx="851">
                  <c:v>16.150999999999843</c:v>
                </c:pt>
                <c:pt idx="852">
                  <c:v>16.151099999999843</c:v>
                </c:pt>
                <c:pt idx="853">
                  <c:v>16.151199999999843</c:v>
                </c:pt>
                <c:pt idx="854">
                  <c:v>16.151299999999843</c:v>
                </c:pt>
                <c:pt idx="855">
                  <c:v>16.151399999999843</c:v>
                </c:pt>
                <c:pt idx="856">
                  <c:v>16.151499999999842</c:v>
                </c:pt>
                <c:pt idx="857">
                  <c:v>16.151599999999842</c:v>
                </c:pt>
                <c:pt idx="858">
                  <c:v>16.151699999999842</c:v>
                </c:pt>
                <c:pt idx="859">
                  <c:v>16.151799999999842</c:v>
                </c:pt>
                <c:pt idx="860">
                  <c:v>16.151899999999841</c:v>
                </c:pt>
                <c:pt idx="861">
                  <c:v>16.151999999999841</c:v>
                </c:pt>
                <c:pt idx="862">
                  <c:v>16.152099999999841</c:v>
                </c:pt>
                <c:pt idx="863">
                  <c:v>16.152199999999841</c:v>
                </c:pt>
                <c:pt idx="864">
                  <c:v>16.15229999999984</c:v>
                </c:pt>
                <c:pt idx="865">
                  <c:v>16.15239999999984</c:v>
                </c:pt>
                <c:pt idx="866">
                  <c:v>16.15249999999984</c:v>
                </c:pt>
                <c:pt idx="867">
                  <c:v>16.15259999999984</c:v>
                </c:pt>
                <c:pt idx="868">
                  <c:v>16.15269999999984</c:v>
                </c:pt>
                <c:pt idx="869">
                  <c:v>16.152799999999839</c:v>
                </c:pt>
                <c:pt idx="870">
                  <c:v>16.152899999999839</c:v>
                </c:pt>
                <c:pt idx="871">
                  <c:v>16.152999999999839</c:v>
                </c:pt>
                <c:pt idx="872">
                  <c:v>16.153099999999839</c:v>
                </c:pt>
                <c:pt idx="873">
                  <c:v>16.153199999999838</c:v>
                </c:pt>
                <c:pt idx="874">
                  <c:v>16.153299999999838</c:v>
                </c:pt>
                <c:pt idx="875">
                  <c:v>16.153399999999838</c:v>
                </c:pt>
                <c:pt idx="876">
                  <c:v>16.153499999999838</c:v>
                </c:pt>
                <c:pt idx="877">
                  <c:v>16.153599999999837</c:v>
                </c:pt>
                <c:pt idx="878">
                  <c:v>16.153699999999837</c:v>
                </c:pt>
                <c:pt idx="879">
                  <c:v>16.153799999999837</c:v>
                </c:pt>
                <c:pt idx="880">
                  <c:v>16.153899999999837</c:v>
                </c:pt>
                <c:pt idx="881">
                  <c:v>16.153999999999836</c:v>
                </c:pt>
                <c:pt idx="882">
                  <c:v>16.154099999999836</c:v>
                </c:pt>
                <c:pt idx="883">
                  <c:v>16.154199999999836</c:v>
                </c:pt>
                <c:pt idx="884">
                  <c:v>16.154299999999836</c:v>
                </c:pt>
                <c:pt idx="885">
                  <c:v>16.154399999999836</c:v>
                </c:pt>
                <c:pt idx="886">
                  <c:v>16.154499999999835</c:v>
                </c:pt>
                <c:pt idx="887">
                  <c:v>16.154599999999835</c:v>
                </c:pt>
                <c:pt idx="888">
                  <c:v>16.154699999999835</c:v>
                </c:pt>
                <c:pt idx="889">
                  <c:v>16.154799999999835</c:v>
                </c:pt>
                <c:pt idx="890">
                  <c:v>16.154899999999834</c:v>
                </c:pt>
                <c:pt idx="891">
                  <c:v>16.154999999999834</c:v>
                </c:pt>
                <c:pt idx="892">
                  <c:v>16.155099999999834</c:v>
                </c:pt>
                <c:pt idx="893">
                  <c:v>16.155199999999834</c:v>
                </c:pt>
                <c:pt idx="894">
                  <c:v>16.155299999999833</c:v>
                </c:pt>
                <c:pt idx="895">
                  <c:v>16.155399999999833</c:v>
                </c:pt>
                <c:pt idx="896">
                  <c:v>16.155499999999833</c:v>
                </c:pt>
                <c:pt idx="897">
                  <c:v>16.155599999999833</c:v>
                </c:pt>
                <c:pt idx="898">
                  <c:v>16.155699999999833</c:v>
                </c:pt>
                <c:pt idx="899">
                  <c:v>16.155799999999832</c:v>
                </c:pt>
                <c:pt idx="900">
                  <c:v>16.155899999999832</c:v>
                </c:pt>
                <c:pt idx="901">
                  <c:v>16.155999999999832</c:v>
                </c:pt>
                <c:pt idx="902">
                  <c:v>16.156099999999832</c:v>
                </c:pt>
                <c:pt idx="903">
                  <c:v>16.156199999999831</c:v>
                </c:pt>
                <c:pt idx="904">
                  <c:v>16.156299999999831</c:v>
                </c:pt>
                <c:pt idx="905">
                  <c:v>16.156399999999831</c:v>
                </c:pt>
                <c:pt idx="906">
                  <c:v>16.156499999999831</c:v>
                </c:pt>
                <c:pt idx="907">
                  <c:v>16.15659999999983</c:v>
                </c:pt>
                <c:pt idx="908">
                  <c:v>16.15669999999983</c:v>
                </c:pt>
                <c:pt idx="909">
                  <c:v>16.15679999999983</c:v>
                </c:pt>
                <c:pt idx="910">
                  <c:v>16.15689999999983</c:v>
                </c:pt>
                <c:pt idx="911">
                  <c:v>16.156999999999829</c:v>
                </c:pt>
                <c:pt idx="912">
                  <c:v>16.157099999999829</c:v>
                </c:pt>
                <c:pt idx="913">
                  <c:v>16.157199999999829</c:v>
                </c:pt>
                <c:pt idx="914">
                  <c:v>16.157299999999829</c:v>
                </c:pt>
                <c:pt idx="915">
                  <c:v>16.157399999999829</c:v>
                </c:pt>
                <c:pt idx="916">
                  <c:v>16.157499999999828</c:v>
                </c:pt>
                <c:pt idx="917">
                  <c:v>16.157599999999828</c:v>
                </c:pt>
                <c:pt idx="918">
                  <c:v>16.157699999999828</c:v>
                </c:pt>
                <c:pt idx="919">
                  <c:v>16.157799999999828</c:v>
                </c:pt>
                <c:pt idx="920">
                  <c:v>16.157899999999827</c:v>
                </c:pt>
                <c:pt idx="921">
                  <c:v>16.157999999999827</c:v>
                </c:pt>
                <c:pt idx="922">
                  <c:v>16.158099999999827</c:v>
                </c:pt>
                <c:pt idx="923">
                  <c:v>16.158199999999827</c:v>
                </c:pt>
                <c:pt idx="924">
                  <c:v>16.158299999999826</c:v>
                </c:pt>
                <c:pt idx="925">
                  <c:v>16.158399999999826</c:v>
                </c:pt>
                <c:pt idx="926">
                  <c:v>16.158499999999826</c:v>
                </c:pt>
                <c:pt idx="927">
                  <c:v>16.158599999999826</c:v>
                </c:pt>
                <c:pt idx="928">
                  <c:v>16.158699999999826</c:v>
                </c:pt>
                <c:pt idx="929">
                  <c:v>16.158799999999825</c:v>
                </c:pt>
                <c:pt idx="930">
                  <c:v>16.158899999999825</c:v>
                </c:pt>
                <c:pt idx="931">
                  <c:v>16.158999999999825</c:v>
                </c:pt>
                <c:pt idx="932">
                  <c:v>16.159099999999825</c:v>
                </c:pt>
                <c:pt idx="933">
                  <c:v>16.159199999999824</c:v>
                </c:pt>
                <c:pt idx="934">
                  <c:v>16.159299999999824</c:v>
                </c:pt>
                <c:pt idx="935">
                  <c:v>16.159399999999824</c:v>
                </c:pt>
                <c:pt idx="936">
                  <c:v>16.159499999999824</c:v>
                </c:pt>
                <c:pt idx="937">
                  <c:v>16.159599999999823</c:v>
                </c:pt>
                <c:pt idx="938">
                  <c:v>16.159699999999823</c:v>
                </c:pt>
                <c:pt idx="939">
                  <c:v>16.159799999999823</c:v>
                </c:pt>
                <c:pt idx="940">
                  <c:v>16.159899999999823</c:v>
                </c:pt>
                <c:pt idx="941">
                  <c:v>16.159999999999823</c:v>
                </c:pt>
                <c:pt idx="942">
                  <c:v>16.160099999999822</c:v>
                </c:pt>
                <c:pt idx="943">
                  <c:v>16.160199999999822</c:v>
                </c:pt>
                <c:pt idx="944">
                  <c:v>16.160299999999822</c:v>
                </c:pt>
                <c:pt idx="945">
                  <c:v>16.160399999999822</c:v>
                </c:pt>
                <c:pt idx="946">
                  <c:v>16.160499999999821</c:v>
                </c:pt>
                <c:pt idx="947">
                  <c:v>16.160599999999821</c:v>
                </c:pt>
                <c:pt idx="948">
                  <c:v>16.160699999999821</c:v>
                </c:pt>
                <c:pt idx="949">
                  <c:v>16.160799999999821</c:v>
                </c:pt>
                <c:pt idx="950">
                  <c:v>16.16089999999982</c:v>
                </c:pt>
                <c:pt idx="951">
                  <c:v>16.16099999999982</c:v>
                </c:pt>
                <c:pt idx="952">
                  <c:v>16.16109999999982</c:v>
                </c:pt>
                <c:pt idx="953">
                  <c:v>16.16119999999982</c:v>
                </c:pt>
                <c:pt idx="954">
                  <c:v>16.161299999999819</c:v>
                </c:pt>
                <c:pt idx="955">
                  <c:v>16.161399999999819</c:v>
                </c:pt>
                <c:pt idx="956">
                  <c:v>16.161499999999819</c:v>
                </c:pt>
                <c:pt idx="957">
                  <c:v>16.161599999999819</c:v>
                </c:pt>
                <c:pt idx="958">
                  <c:v>16.161699999999819</c:v>
                </c:pt>
                <c:pt idx="959">
                  <c:v>16.161799999999818</c:v>
                </c:pt>
                <c:pt idx="960">
                  <c:v>16.161899999999818</c:v>
                </c:pt>
                <c:pt idx="961">
                  <c:v>16.161999999999818</c:v>
                </c:pt>
                <c:pt idx="962">
                  <c:v>16.162099999999818</c:v>
                </c:pt>
                <c:pt idx="963">
                  <c:v>16.162199999999817</c:v>
                </c:pt>
                <c:pt idx="964">
                  <c:v>16.162299999999817</c:v>
                </c:pt>
                <c:pt idx="965">
                  <c:v>16.162399999999817</c:v>
                </c:pt>
                <c:pt idx="966">
                  <c:v>16.162499999999817</c:v>
                </c:pt>
                <c:pt idx="967">
                  <c:v>16.162599999999816</c:v>
                </c:pt>
                <c:pt idx="968">
                  <c:v>16.162699999999816</c:v>
                </c:pt>
                <c:pt idx="969">
                  <c:v>16.162799999999816</c:v>
                </c:pt>
                <c:pt idx="970">
                  <c:v>16.162899999999816</c:v>
                </c:pt>
                <c:pt idx="971">
                  <c:v>16.162999999999816</c:v>
                </c:pt>
                <c:pt idx="972">
                  <c:v>16.163099999999815</c:v>
                </c:pt>
                <c:pt idx="973">
                  <c:v>16.163199999999815</c:v>
                </c:pt>
                <c:pt idx="974">
                  <c:v>16.163299999999815</c:v>
                </c:pt>
                <c:pt idx="975">
                  <c:v>16.163399999999815</c:v>
                </c:pt>
                <c:pt idx="976">
                  <c:v>16.163499999999814</c:v>
                </c:pt>
                <c:pt idx="977">
                  <c:v>16.163599999999814</c:v>
                </c:pt>
                <c:pt idx="978">
                  <c:v>16.163699999999814</c:v>
                </c:pt>
                <c:pt idx="979">
                  <c:v>16.163799999999814</c:v>
                </c:pt>
                <c:pt idx="980">
                  <c:v>16.163899999999813</c:v>
                </c:pt>
                <c:pt idx="981">
                  <c:v>16.163999999999813</c:v>
                </c:pt>
                <c:pt idx="982">
                  <c:v>16.164099999999813</c:v>
                </c:pt>
                <c:pt idx="983">
                  <c:v>16.164199999999813</c:v>
                </c:pt>
                <c:pt idx="984">
                  <c:v>16.164299999999812</c:v>
                </c:pt>
                <c:pt idx="985">
                  <c:v>16.164399999999812</c:v>
                </c:pt>
                <c:pt idx="986">
                  <c:v>16.164499999999812</c:v>
                </c:pt>
                <c:pt idx="987">
                  <c:v>16.164599999999812</c:v>
                </c:pt>
                <c:pt idx="988">
                  <c:v>16.164699999999812</c:v>
                </c:pt>
                <c:pt idx="989">
                  <c:v>16.164799999999811</c:v>
                </c:pt>
                <c:pt idx="990">
                  <c:v>16.164899999999811</c:v>
                </c:pt>
                <c:pt idx="991">
                  <c:v>16.164999999999811</c:v>
                </c:pt>
                <c:pt idx="992">
                  <c:v>16.165099999999811</c:v>
                </c:pt>
                <c:pt idx="993">
                  <c:v>16.16519999999981</c:v>
                </c:pt>
                <c:pt idx="994">
                  <c:v>16.16529999999981</c:v>
                </c:pt>
                <c:pt idx="995">
                  <c:v>16.16539999999981</c:v>
                </c:pt>
                <c:pt idx="996">
                  <c:v>16.16549999999981</c:v>
                </c:pt>
                <c:pt idx="997">
                  <c:v>16.165599999999809</c:v>
                </c:pt>
                <c:pt idx="998">
                  <c:v>16.165699999999809</c:v>
                </c:pt>
                <c:pt idx="999">
                  <c:v>16.165799999999809</c:v>
                </c:pt>
                <c:pt idx="1000">
                  <c:v>16.165899999999809</c:v>
                </c:pt>
              </c:numCache>
            </c:numRef>
          </c:xVal>
          <c:yVal>
            <c:numRef>
              <c:f>Calculs!$K$4:$K$1004</c:f>
              <c:numCache>
                <c:formatCode>0.00</c:formatCode>
                <c:ptCount val="1001"/>
                <c:pt idx="0">
                  <c:v>0</c:v>
                </c:pt>
                <c:pt idx="1">
                  <c:v>3.8446733559257672E-4</c:v>
                </c:pt>
                <c:pt idx="2">
                  <c:v>4.8729907987934652E-3</c:v>
                </c:pt>
                <c:pt idx="3">
                  <c:v>1.9548979632616582E-2</c:v>
                </c:pt>
                <c:pt idx="4">
                  <c:v>4.7650696998224953E-2</c:v>
                </c:pt>
                <c:pt idx="5">
                  <c:v>8.9655093535923353E-2</c:v>
                </c:pt>
                <c:pt idx="6">
                  <c:v>0.14508552596586602</c:v>
                </c:pt>
                <c:pt idx="7">
                  <c:v>0.21301332194387987</c:v>
                </c:pt>
                <c:pt idx="8">
                  <c:v>0.29283152381170474</c:v>
                </c:pt>
                <c:pt idx="9">
                  <c:v>0.38458033039693956</c:v>
                </c:pt>
                <c:pt idx="10">
                  <c:v>0.48862384099532186</c:v>
                </c:pt>
                <c:pt idx="11">
                  <c:v>0.60525726991726647</c:v>
                </c:pt>
                <c:pt idx="12">
                  <c:v>0.73463807992362007</c:v>
                </c:pt>
                <c:pt idx="13">
                  <c:v>0.87685435899542541</c:v>
                </c:pt>
                <c:pt idx="14">
                  <c:v>1.0319933810818058</c:v>
                </c:pt>
                <c:pt idx="15">
                  <c:v>1.2001415866081038</c:v>
                </c:pt>
                <c:pt idx="16">
                  <c:v>1.3813845630393384</c:v>
                </c:pt>
                <c:pt idx="17">
                  <c:v>1.5758070255100542</c:v>
                </c:pt>
                <c:pt idx="18">
                  <c:v>1.7834927975317503</c:v>
                </c:pt>
                <c:pt idx="19">
                  <c:v>2.0045247917891982</c:v>
                </c:pt>
                <c:pt idx="20">
                  <c:v>2.2389849910370576</c:v>
                </c:pt>
                <c:pt idx="21">
                  <c:v>2.4869435047969151</c:v>
                </c:pt>
                <c:pt idx="22">
                  <c:v>2.7484328046298216</c:v>
                </c:pt>
                <c:pt idx="23">
                  <c:v>3.0234726231937836</c:v>
                </c:pt>
                <c:pt idx="24">
                  <c:v>3.3120956863847981</c:v>
                </c:pt>
                <c:pt idx="25">
                  <c:v>3.6143337208612123</c:v>
                </c:pt>
                <c:pt idx="26">
                  <c:v>3.9302174531705529</c:v>
                </c:pt>
                <c:pt idx="27">
                  <c:v>4.2597765976276012</c:v>
                </c:pt>
                <c:pt idx="28">
                  <c:v>4.6030398449669638</c:v>
                </c:pt>
                <c:pt idx="29">
                  <c:v>4.9600348517046537</c:v>
                </c:pt>
                <c:pt idx="30">
                  <c:v>5.3307882301559646</c:v>
                </c:pt>
                <c:pt idx="31">
                  <c:v>5.7153035284685307</c:v>
                </c:pt>
                <c:pt idx="32">
                  <c:v>6.1135391941271919</c:v>
                </c:pt>
                <c:pt idx="33">
                  <c:v>6.525430582320392</c:v>
                </c:pt>
                <c:pt idx="34">
                  <c:v>6.9509119924271046</c:v>
                </c:pt>
                <c:pt idx="35">
                  <c:v>7.3899166818112754</c:v>
                </c:pt>
                <c:pt idx="36">
                  <c:v>7.8423768801470928</c:v>
                </c:pt>
                <c:pt idx="37">
                  <c:v>8.3082238042368601</c:v>
                </c:pt>
                <c:pt idx="38">
                  <c:v>8.7873876732871832</c:v>
                </c:pt>
                <c:pt idx="39">
                  <c:v>9.279797724612397</c:v>
                </c:pt>
                <c:pt idx="40">
                  <c:v>9.7853822297368431</c:v>
                </c:pt>
                <c:pt idx="41">
                  <c:v>10.304068510869806</c:v>
                </c:pt>
                <c:pt idx="42">
                  <c:v>10.835782957728767</c:v>
                </c:pt>
                <c:pt idx="43">
                  <c:v>11.380451044688229</c:v>
                </c:pt>
                <c:pt idx="44">
                  <c:v>11.937997348232633</c:v>
                </c:pt>
                <c:pt idx="45">
                  <c:v>12.508345564693073</c:v>
                </c:pt>
                <c:pt idx="46">
                  <c:v>13.091418528248418</c:v>
                </c:pt>
                <c:pt idx="47">
                  <c:v>13.687138229172353</c:v>
                </c:pt>
                <c:pt idx="48">
                  <c:v>14.295425832308508</c:v>
                </c:pt>
                <c:pt idx="49">
                  <c:v>14.916201695756556</c:v>
                </c:pt>
                <c:pt idx="50">
                  <c:v>15.549385389752645</c:v>
                </c:pt>
                <c:pt idx="51">
                  <c:v>16.194895715728112</c:v>
                </c:pt>
                <c:pt idx="52">
                  <c:v>16.852650725530815</c:v>
                </c:pt>
                <c:pt idx="53">
                  <c:v>17.52256774079386</c:v>
                </c:pt>
                <c:pt idx="54">
                  <c:v>18.204563372436901</c:v>
                </c:pt>
                <c:pt idx="55">
                  <c:v>18.898553540285494</c:v>
                </c:pt>
                <c:pt idx="56">
                  <c:v>19.604453492794327</c:v>
                </c:pt>
                <c:pt idx="57">
                  <c:v>20.322177826860507</c:v>
                </c:pt>
                <c:pt idx="58">
                  <c:v>21.051640507713294</c:v>
                </c:pt>
                <c:pt idx="59">
                  <c:v>21.792754888867023</c:v>
                </c:pt>
                <c:pt idx="60">
                  <c:v>22.545433732124209</c:v>
                </c:pt>
                <c:pt idx="61">
                  <c:v>23.309589227616076</c:v>
                </c:pt>
                <c:pt idx="62">
                  <c:v>24.085133013868038</c:v>
                </c:pt>
                <c:pt idx="63">
                  <c:v>24.871976197877899</c:v>
                </c:pt>
                <c:pt idx="64">
                  <c:v>25.670029375194812</c:v>
                </c:pt>
                <c:pt idx="65">
                  <c:v>26.479202649987254</c:v>
                </c:pt>
                <c:pt idx="66">
                  <c:v>27.299405655088584</c:v>
                </c:pt>
                <c:pt idx="67">
                  <c:v>28.130547572008926</c:v>
                </c:pt>
                <c:pt idx="68">
                  <c:v>28.972537150902433</c:v>
                </c:pt>
                <c:pt idx="69">
                  <c:v>29.82528273047922</c:v>
                </c:pt>
                <c:pt idx="70">
                  <c:v>30.688692257851482</c:v>
                </c:pt>
                <c:pt idx="71">
                  <c:v>31.562681309650262</c:v>
                </c:pt>
                <c:pt idx="72">
                  <c:v>32.447181092568158</c:v>
                </c:pt>
                <c:pt idx="73">
                  <c:v>33.34213040699008</c:v>
                </c:pt>
                <c:pt idx="74">
                  <c:v>34.247467627925545</c:v>
                </c:pt>
                <c:pt idx="75">
                  <c:v>35.163130718280975</c:v>
                </c:pt>
                <c:pt idx="76">
                  <c:v>36.08905724214199</c:v>
                </c:pt>
                <c:pt idx="77">
                  <c:v>37.025184378059343</c:v>
                </c:pt>
                <c:pt idx="78">
                  <c:v>37.971448932332194</c:v>
                </c:pt>
                <c:pt idx="79">
                  <c:v>38.9277873522826</c:v>
                </c:pt>
                <c:pt idx="80">
                  <c:v>39.894135739515107</c:v>
                </c:pt>
                <c:pt idx="81">
                  <c:v>40.870429863155465</c:v>
                </c:pt>
                <c:pt idx="82">
                  <c:v>41.856605173062647</c:v>
                </c:pt>
                <c:pt idx="83">
                  <c:v>42.852596813008333</c:v>
                </c:pt>
                <c:pt idx="84">
                  <c:v>43.858339633818254</c:v>
                </c:pt>
                <c:pt idx="85">
                  <c:v>44.873768206469833</c:v>
                </c:pt>
                <c:pt idx="86">
                  <c:v>45.898816835140728</c:v>
                </c:pt>
                <c:pt idx="87">
                  <c:v>46.933419570202879</c:v>
                </c:pt>
                <c:pt idx="88">
                  <c:v>47.97680603648265</c:v>
                </c:pt>
                <c:pt idx="89">
                  <c:v>49.026800365122057</c:v>
                </c:pt>
                <c:pt idx="90">
                  <c:v>50.080532954558208</c:v>
                </c:pt>
                <c:pt idx="91">
                  <c:v>51.135669210827615</c:v>
                </c:pt>
                <c:pt idx="92">
                  <c:v>52.190926936054723</c:v>
                </c:pt>
                <c:pt idx="93">
                  <c:v>53.245551091602678</c:v>
                </c:pt>
                <c:pt idx="94">
                  <c:v>54.298791293093416</c:v>
                </c:pt>
                <c:pt idx="95">
                  <c:v>55.349901866392891</c:v>
                </c:pt>
                <c:pt idx="96">
                  <c:v>56.398141891906825</c:v>
                </c:pt>
                <c:pt idx="97">
                  <c:v>57.442775237464495</c:v>
                </c:pt>
                <c:pt idx="98">
                  <c:v>58.483259228341652</c:v>
                </c:pt>
                <c:pt idx="99">
                  <c:v>59.519432012369016</c:v>
                </c:pt>
                <c:pt idx="100">
                  <c:v>60.551321353738501</c:v>
                </c:pt>
                <c:pt idx="101">
                  <c:v>61.578954720211158</c:v>
                </c:pt>
                <c:pt idx="102">
                  <c:v>62.602359287302626</c:v>
                </c:pt>
                <c:pt idx="103">
                  <c:v>63.621561942394635</c:v>
                </c:pt>
                <c:pt idx="104">
                  <c:v>64.636589288774189</c:v>
                </c:pt>
                <c:pt idx="105">
                  <c:v>65.64746764960185</c:v>
                </c:pt>
                <c:pt idx="106">
                  <c:v>66.654223071810762</c:v>
                </c:pt>
                <c:pt idx="107">
                  <c:v>67.656881329937676</c:v>
                </c:pt>
                <c:pt idx="108">
                  <c:v>68.655467929887564</c:v>
                </c:pt>
                <c:pt idx="109">
                  <c:v>69.650008112633117</c:v>
                </c:pt>
                <c:pt idx="110">
                  <c:v>70.64052685785046</c:v>
                </c:pt>
                <c:pt idx="111">
                  <c:v>71.627048887492464</c:v>
                </c:pt>
                <c:pt idx="112">
                  <c:v>72.60959866930088</c:v>
                </c:pt>
                <c:pt idx="113">
                  <c:v>73.588200420258602</c:v>
                </c:pt>
                <c:pt idx="114">
                  <c:v>74.562878109983231</c:v>
                </c:pt>
                <c:pt idx="115">
                  <c:v>75.533655464063116</c:v>
                </c:pt>
                <c:pt idx="116">
                  <c:v>76.500555967337178</c:v>
                </c:pt>
                <c:pt idx="117">
                  <c:v>77.463602867119448</c:v>
                </c:pt>
                <c:pt idx="118">
                  <c:v>78.4228191763696</c:v>
                </c:pt>
                <c:pt idx="119">
                  <c:v>79.378227676810511</c:v>
                </c:pt>
                <c:pt idx="120">
                  <c:v>80.329850921993824</c:v>
                </c:pt>
                <c:pt idx="121">
                  <c:v>81.277711240314716</c:v>
                </c:pt>
                <c:pt idx="122">
                  <c:v>82.221830737976717</c:v>
                </c:pt>
                <c:pt idx="123">
                  <c:v>83.162231301907696</c:v>
                </c:pt>
                <c:pt idx="124">
                  <c:v>84.098934602627878</c:v>
                </c:pt>
                <c:pt idx="125">
                  <c:v>85.031962097070917</c:v>
                </c:pt>
                <c:pt idx="126">
                  <c:v>85.961335031358914</c:v>
                </c:pt>
                <c:pt idx="127">
                  <c:v>86.887074443532228</c:v>
                </c:pt>
                <c:pt idx="128">
                  <c:v>87.809201166235056</c:v>
                </c:pt>
                <c:pt idx="129">
                  <c:v>88.727735829357584</c:v>
                </c:pt>
                <c:pt idx="130">
                  <c:v>89.642698862635569</c:v>
                </c:pt>
                <c:pt idx="131">
                  <c:v>90.554110498208132</c:v>
                </c:pt>
                <c:pt idx="132">
                  <c:v>91.461990773134616</c:v>
                </c:pt>
                <c:pt idx="133">
                  <c:v>92.366359531871311</c:v>
                </c:pt>
                <c:pt idx="134">
                  <c:v>93.267236428708713</c:v>
                </c:pt>
                <c:pt idx="135">
                  <c:v>94.164640930170194</c:v>
                </c:pt>
                <c:pt idx="136">
                  <c:v>95.058592317372714</c:v>
                </c:pt>
                <c:pt idx="137">
                  <c:v>95.949109688350362</c:v>
                </c:pt>
                <c:pt idx="138">
                  <c:v>96.836211960341359</c:v>
                </c:pt>
                <c:pt idx="139">
                  <c:v>97.719917872039318</c:v>
                </c:pt>
                <c:pt idx="140">
                  <c:v>98.600245985809295</c:v>
                </c:pt>
                <c:pt idx="141">
                  <c:v>99.477214689869413</c:v>
                </c:pt>
                <c:pt idx="142">
                  <c:v>100.35084220043861</c:v>
                </c:pt>
                <c:pt idx="143">
                  <c:v>101.22114656385118</c:v>
                </c:pt>
                <c:pt idx="144">
                  <c:v>102.08814565863875</c:v>
                </c:pt>
                <c:pt idx="145">
                  <c:v>102.95185719758021</c:v>
                </c:pt>
                <c:pt idx="146">
                  <c:v>103.81229872972027</c:v>
                </c:pt>
                <c:pt idx="147">
                  <c:v>104.66948764235718</c:v>
                </c:pt>
                <c:pt idx="148">
                  <c:v>105.52344116300021</c:v>
                </c:pt>
                <c:pt idx="149">
                  <c:v>106.37417636129736</c:v>
                </c:pt>
                <c:pt idx="150">
                  <c:v>107.2217101509339</c:v>
                </c:pt>
                <c:pt idx="151">
                  <c:v>108.06605929150236</c:v>
                </c:pt>
                <c:pt idx="152">
                  <c:v>108.90724039034423</c:v>
                </c:pt>
                <c:pt idx="153">
                  <c:v>109.74526990436422</c:v>
                </c:pt>
                <c:pt idx="154">
                  <c:v>110.58016414181722</c:v>
                </c:pt>
                <c:pt idx="155">
                  <c:v>111.41193926406874</c:v>
                </c:pt>
                <c:pt idx="156">
                  <c:v>112.24061128732913</c:v>
                </c:pt>
                <c:pt idx="157">
                  <c:v>113.06619608436215</c:v>
                </c:pt>
                <c:pt idx="158">
                  <c:v>113.88870938616817</c:v>
                </c:pt>
                <c:pt idx="159">
                  <c:v>114.7081667836428</c:v>
                </c:pt>
                <c:pt idx="160">
                  <c:v>115.52458372921087</c:v>
                </c:pt>
                <c:pt idx="161">
                  <c:v>116.33797553843678</c:v>
                </c:pt>
                <c:pt idx="162">
                  <c:v>117.14835739161106</c:v>
                </c:pt>
                <c:pt idx="163">
                  <c:v>117.95574433531404</c:v>
                </c:pt>
                <c:pt idx="164">
                  <c:v>118.7601512839567</c:v>
                </c:pt>
                <c:pt idx="165">
                  <c:v>119.5615930212993</c:v>
                </c:pt>
                <c:pt idx="166">
                  <c:v>120.360084201948</c:v>
                </c:pt>
                <c:pt idx="167">
                  <c:v>121.15563935282998</c:v>
                </c:pt>
                <c:pt idx="168">
                  <c:v>121.94827287464746</c:v>
                </c:pt>
                <c:pt idx="169">
                  <c:v>122.73799904331081</c:v>
                </c:pt>
                <c:pt idx="170">
                  <c:v>123.52483201135125</c:v>
                </c:pt>
                <c:pt idx="171">
                  <c:v>124.30878580931351</c:v>
                </c:pt>
                <c:pt idx="172">
                  <c:v>125.08987434712861</c:v>
                </c:pt>
                <c:pt idx="173">
                  <c:v>125.86811141546735</c:v>
                </c:pt>
                <c:pt idx="174">
                  <c:v>126.64351068707462</c:v>
                </c:pt>
                <c:pt idx="175">
                  <c:v>127.41608571808499</c:v>
                </c:pt>
                <c:pt idx="176">
                  <c:v>128.18584994931976</c:v>
                </c:pt>
                <c:pt idx="177">
                  <c:v>128.952816707566</c:v>
                </c:pt>
                <c:pt idx="178">
                  <c:v>129.71699920683767</c:v>
                </c:pt>
                <c:pt idx="179">
                  <c:v>130.47841054961918</c:v>
                </c:pt>
                <c:pt idx="180">
                  <c:v>131.23706372809173</c:v>
                </c:pt>
                <c:pt idx="181">
                  <c:v>131.99297162534265</c:v>
                </c:pt>
                <c:pt idx="182">
                  <c:v>132.74614701655818</c:v>
                </c:pt>
                <c:pt idx="183">
                  <c:v>133.49660257019966</c:v>
                </c:pt>
                <c:pt idx="184">
                  <c:v>134.24435084916365</c:v>
                </c:pt>
                <c:pt idx="185">
                  <c:v>134.98940431192636</c:v>
                </c:pt>
                <c:pt idx="186">
                  <c:v>135.7317753136721</c:v>
                </c:pt>
                <c:pt idx="187">
                  <c:v>136.47147610740669</c:v>
                </c:pt>
                <c:pt idx="188">
                  <c:v>137.20851884505561</c:v>
                </c:pt>
                <c:pt idx="189">
                  <c:v>137.94291557854734</c:v>
                </c:pt>
                <c:pt idx="190">
                  <c:v>138.6746782608821</c:v>
                </c:pt>
                <c:pt idx="191">
                  <c:v>139.40381874718608</c:v>
                </c:pt>
                <c:pt idx="192">
                  <c:v>140.13034879575164</c:v>
                </c:pt>
                <c:pt idx="193">
                  <c:v>140.85428006906358</c:v>
                </c:pt>
                <c:pt idx="194">
                  <c:v>141.57562413481159</c:v>
                </c:pt>
                <c:pt idx="195">
                  <c:v>142.29439246688941</c:v>
                </c:pt>
                <c:pt idx="196">
                  <c:v>143.01059644638045</c:v>
                </c:pt>
                <c:pt idx="197">
                  <c:v>143.72424736253066</c:v>
                </c:pt>
                <c:pt idx="198">
                  <c:v>144.43535641370829</c:v>
                </c:pt>
                <c:pt idx="199">
                  <c:v>145.14393470835114</c:v>
                </c:pt>
                <c:pt idx="200">
                  <c:v>145.8499932659013</c:v>
                </c:pt>
                <c:pt idx="201">
                  <c:v>152.77283949672693</c:v>
                </c:pt>
                <c:pt idx="202">
                  <c:v>159.45066070733566</c:v>
                </c:pt>
                <c:pt idx="203">
                  <c:v>165.89366927446733</c:v>
                </c:pt>
                <c:pt idx="204">
                  <c:v>172.11129774011226</c:v>
                </c:pt>
                <c:pt idx="205">
                  <c:v>178.11227415803469</c:v>
                </c:pt>
                <c:pt idx="206">
                  <c:v>183.90468839465601</c:v>
                </c:pt>
                <c:pt idx="207">
                  <c:v>189.49605065881539</c:v>
                </c:pt>
                <c:pt idx="208">
                  <c:v>194.89334332927936</c:v>
                </c:pt>
                <c:pt idx="209">
                  <c:v>200.10306698039764</c:v>
                </c:pt>
                <c:pt idx="210">
                  <c:v>205.13128136758985</c:v>
                </c:pt>
                <c:pt idx="211">
                  <c:v>209.98364201959433</c:v>
                </c:pt>
                <c:pt idx="212">
                  <c:v>214.66543298904853</c:v>
                </c:pt>
                <c:pt idx="213">
                  <c:v>219.18159623338082</c:v>
                </c:pt>
                <c:pt idx="214">
                  <c:v>223.53675803129474</c:v>
                </c:pt>
                <c:pt idx="215">
                  <c:v>227.73525278401203</c:v>
                </c:pt>
                <c:pt idx="216">
                  <c:v>231.78114450305378</c:v>
                </c:pt>
                <c:pt idx="217">
                  <c:v>235.67824624617944</c:v>
                </c:pt>
                <c:pt idx="218">
                  <c:v>239.43013772895503</c:v>
                </c:pt>
                <c:pt idx="219">
                  <c:v>243.04018131028886</c:v>
                </c:pt>
                <c:pt idx="220">
                  <c:v>246.51153652534549</c:v>
                </c:pt>
                <c:pt idx="221">
                  <c:v>249.84717331785725</c:v>
                </c:pt>
                <c:pt idx="222">
                  <c:v>253.04988410544723</c:v>
                </c:pt>
                <c:pt idx="223">
                  <c:v>256.12229479570379</c:v>
                </c:pt>
                <c:pt idx="224">
                  <c:v>259.06687485702753</c:v>
                </c:pt>
                <c:pt idx="225">
                  <c:v>261.88594653639495</c:v>
                </c:pt>
                <c:pt idx="226">
                  <c:v>264.58169330588919</c:v>
                </c:pt>
                <c:pt idx="227">
                  <c:v>267.15616761092429</c:v>
                </c:pt>
                <c:pt idx="228">
                  <c:v>269.61129798535853</c:v>
                </c:pt>
                <c:pt idx="229">
                  <c:v>271.94889559201266</c:v>
                </c:pt>
                <c:pt idx="230">
                  <c:v>274.17066024136687</c:v>
                </c:pt>
                <c:pt idx="231">
                  <c:v>276.27818593632219</c:v>
                </c:pt>
                <c:pt idx="232">
                  <c:v>278.27296598681727</c:v>
                </c:pt>
                <c:pt idx="233">
                  <c:v>280.15639773476471</c:v>
                </c:pt>
                <c:pt idx="234">
                  <c:v>281.92978692720675</c:v>
                </c:pt>
                <c:pt idx="235">
                  <c:v>283.59435177383091</c:v>
                </c:pt>
                <c:pt idx="236">
                  <c:v>285.15122672410547</c:v>
                </c:pt>
                <c:pt idx="237">
                  <c:v>286.60146599942556</c:v>
                </c:pt>
                <c:pt idx="238">
                  <c:v>287.94604691699703</c:v>
                </c:pt>
                <c:pt idx="239">
                  <c:v>289.18587304499488</c:v>
                </c:pt>
                <c:pt idx="240">
                  <c:v>290.32177723317164</c:v>
                </c:pt>
                <c:pt idx="241">
                  <c:v>291.35452456999172</c:v>
                </c:pt>
                <c:pt idx="242">
                  <c:v>292.28481532700499</c:v>
                </c:pt>
                <c:pt idx="243">
                  <c:v>293.11328796396509</c:v>
                </c:pt>
                <c:pt idx="244">
                  <c:v>293.84052228426833</c:v>
                </c:pt>
                <c:pt idx="245">
                  <c:v>294.46704284903984</c:v>
                </c:pt>
                <c:pt idx="246">
                  <c:v>294.99332277759606</c:v>
                </c:pt>
                <c:pt idx="247">
                  <c:v>295.41978807761927</c:v>
                </c:pt>
                <c:pt idx="248">
                  <c:v>295.74682265241728</c:v>
                </c:pt>
                <c:pt idx="249">
                  <c:v>295.97477411396676</c:v>
                </c:pt>
                <c:pt idx="250">
                  <c:v>296.10396047690489</c:v>
                </c:pt>
                <c:pt idx="251">
                  <c:v>296.13467771315152</c:v>
                </c:pt>
                <c:pt idx="252">
                  <c:v>296.06720801615461</c:v>
                </c:pt>
                <c:pt idx="253">
                  <c:v>295.90182848458073</c:v>
                </c:pt>
                <c:pt idx="254">
                  <c:v>295.63881982959361</c:v>
                </c:pt>
                <c:pt idx="255">
                  <c:v>295.27847467650497</c:v>
                </c:pt>
                <c:pt idx="256">
                  <c:v>294.82110508405833</c:v>
                </c:pt>
                <c:pt idx="257">
                  <c:v>294.26704902253908</c:v>
                </c:pt>
                <c:pt idx="258">
                  <c:v>293.61667569351721</c:v>
                </c:pt>
                <c:pt idx="259">
                  <c:v>292.87038969908457</c:v>
                </c:pt>
                <c:pt idx="260">
                  <c:v>292.02863415437969</c:v>
                </c:pt>
                <c:pt idx="261">
                  <c:v>291.09189288107132</c:v>
                </c:pt>
                <c:pt idx="262">
                  <c:v>290.06069183048686</c:v>
                </c:pt>
                <c:pt idx="263">
                  <c:v>288.93559987586428</c:v>
                </c:pt>
                <c:pt idx="264">
                  <c:v>287.71722909449147</c:v>
                </c:pt>
                <c:pt idx="265">
                  <c:v>286.40623463936765</c:v>
                </c:pt>
                <c:pt idx="266">
                  <c:v>285.00331428028829</c:v>
                </c:pt>
                <c:pt idx="267">
                  <c:v>283.50920767750182</c:v>
                </c:pt>
                <c:pt idx="268">
                  <c:v>281.9246954376257</c:v>
                </c:pt>
                <c:pt idx="269">
                  <c:v>280.25059799104753</c:v>
                </c:pt>
                <c:pt idx="270">
                  <c:v>278.4877743220685</c:v>
                </c:pt>
                <c:pt idx="271">
                  <c:v>276.63712057704515</c:v>
                </c:pt>
                <c:pt idx="272">
                  <c:v>274.69956857128471</c:v>
                </c:pt>
                <c:pt idx="273">
                  <c:v>272.67608421207359</c:v>
                </c:pt>
                <c:pt idx="274">
                  <c:v>270.56766585267269</c:v>
                </c:pt>
                <c:pt idx="275">
                  <c:v>268.37534259017303</c:v>
                </c:pt>
                <c:pt idx="276">
                  <c:v>266.10017251860978</c:v>
                </c:pt>
                <c:pt idx="277">
                  <c:v>263.7432409475532</c:v>
                </c:pt>
                <c:pt idx="278">
                  <c:v>261.30565859544896</c:v>
                </c:pt>
                <c:pt idx="279">
                  <c:v>258.78855976619644</c:v>
                </c:pt>
                <c:pt idx="280">
                  <c:v>256.19310051679088</c:v>
                </c:pt>
                <c:pt idx="281">
                  <c:v>253.52045682327267</c:v>
                </c:pt>
                <c:pt idx="282">
                  <c:v>250.77182275170779</c:v>
                </c:pt>
                <c:pt idx="283">
                  <c:v>247.9484086404436</c:v>
                </c:pt>
                <c:pt idx="284">
                  <c:v>245.0514392994348</c:v>
                </c:pt>
                <c:pt idx="285">
                  <c:v>242.08215223200716</c:v>
                </c:pt>
                <c:pt idx="286">
                  <c:v>239.04179588401399</c:v>
                </c:pt>
                <c:pt idx="287">
                  <c:v>235.93162792494019</c:v>
                </c:pt>
                <c:pt idx="288">
                  <c:v>232.75291356511812</c:v>
                </c:pt>
                <c:pt idx="289">
                  <c:v>229.50692391283829</c:v>
                </c:pt>
                <c:pt idx="290">
                  <c:v>226.19493437476322</c:v>
                </c:pt>
                <c:pt idx="291">
                  <c:v>222.81822310268873</c:v>
                </c:pt>
                <c:pt idx="292">
                  <c:v>219.37806948934011</c:v>
                </c:pt>
                <c:pt idx="293">
                  <c:v>215.87575271554374</c:v>
                </c:pt>
                <c:pt idx="294">
                  <c:v>212.31255035077942</c:v>
                </c:pt>
                <c:pt idx="295">
                  <c:v>208.68973700879292</c:v>
                </c:pt>
                <c:pt idx="296">
                  <c:v>205.00858305963612</c:v>
                </c:pt>
                <c:pt idx="297">
                  <c:v>201.270353399203</c:v>
                </c:pt>
                <c:pt idx="298">
                  <c:v>197.47630627704319</c:v>
                </c:pt>
                <c:pt idx="299">
                  <c:v>193.62769218296484</c:v>
                </c:pt>
                <c:pt idx="300">
                  <c:v>189.72575279268128</c:v>
                </c:pt>
                <c:pt idx="301">
                  <c:v>185.77171997251639</c:v>
                </c:pt>
                <c:pt idx="302">
                  <c:v>181.76681484295801</c:v>
                </c:pt>
                <c:pt idx="303">
                  <c:v>177.71224690064031</c:v>
                </c:pt>
                <c:pt idx="304">
                  <c:v>173.6092131981431</c:v>
                </c:pt>
                <c:pt idx="305">
                  <c:v>169.45889758081921</c:v>
                </c:pt>
                <c:pt idx="306">
                  <c:v>165.2624699797</c:v>
                </c:pt>
                <c:pt idx="307">
                  <c:v>161.02108575938396</c:v>
                </c:pt>
                <c:pt idx="308">
                  <c:v>156.73588511968285</c:v>
                </c:pt>
                <c:pt idx="309">
                  <c:v>152.40799254968468</c:v>
                </c:pt>
                <c:pt idx="310">
                  <c:v>148.03851633279217</c:v>
                </c:pt>
                <c:pt idx="311">
                  <c:v>143.62854810120749</c:v>
                </c:pt>
                <c:pt idx="312">
                  <c:v>139.17916243826082</c:v>
                </c:pt>
                <c:pt idx="313">
                  <c:v>134.69141652691863</c:v>
                </c:pt>
                <c:pt idx="314">
                  <c:v>130.16634984275808</c:v>
                </c:pt>
                <c:pt idx="315">
                  <c:v>125.60498388965577</c:v>
                </c:pt>
                <c:pt idx="316">
                  <c:v>121.00832197641151</c:v>
                </c:pt>
                <c:pt idx="317">
                  <c:v>116.37734903250951</c:v>
                </c:pt>
                <c:pt idx="318">
                  <c:v>111.71303146121105</c:v>
                </c:pt>
                <c:pt idx="319">
                  <c:v>107.01631702817177</c:v>
                </c:pt>
                <c:pt idx="320">
                  <c:v>102.28813478378433</c:v>
                </c:pt>
                <c:pt idx="321">
                  <c:v>97.529395017461056</c:v>
                </c:pt>
                <c:pt idx="322">
                  <c:v>92.740989242092127</c:v>
                </c:pt>
                <c:pt idx="323">
                  <c:v>87.923790206940623</c:v>
                </c:pt>
                <c:pt idx="324">
                  <c:v>83.078651937267338</c:v>
                </c:pt>
                <c:pt idx="325">
                  <c:v>78.206409799013784</c:v>
                </c:pt>
                <c:pt idx="326">
                  <c:v>73.307880586911466</c:v>
                </c:pt>
                <c:pt idx="327">
                  <c:v>68.383862634428411</c:v>
                </c:pt>
                <c:pt idx="328">
                  <c:v>63.435135944009716</c:v>
                </c:pt>
                <c:pt idx="329">
                  <c:v>58.462462336117014</c:v>
                </c:pt>
                <c:pt idx="330">
                  <c:v>53.466585615621725</c:v>
                </c:pt>
                <c:pt idx="331">
                  <c:v>48.448231754158705</c:v>
                </c:pt>
                <c:pt idx="332">
                  <c:v>43.408109087099412</c:v>
                </c:pt>
                <c:pt idx="333">
                  <c:v>38.346908523857202</c:v>
                </c:pt>
                <c:pt idx="334">
                  <c:v>33.265303770291418</c:v>
                </c:pt>
                <c:pt idx="335">
                  <c:v>28.16395156203081</c:v>
                </c:pt>
                <c:pt idx="336">
                  <c:v>23.043491907591019</c:v>
                </c:pt>
                <c:pt idx="337">
                  <c:v>17.904548340214294</c:v>
                </c:pt>
                <c:pt idx="338">
                  <c:v>12.747728177412935</c:v>
                </c:pt>
                <c:pt idx="339">
                  <c:v>7.5736227872500832</c:v>
                </c:pt>
                <c:pt idx="340">
                  <c:v>2.3828078604431502</c:v>
                </c:pt>
                <c:pt idx="341">
                  <c:v>-2.8241563125745657</c:v>
                </c:pt>
                <c:pt idx="342">
                  <c:v>-2.8293712208732744</c:v>
                </c:pt>
                <c:pt idx="343">
                  <c:v>-2.834586144506956</c:v>
                </c:pt>
                <c:pt idx="344">
                  <c:v>-2.8398010834750882</c:v>
                </c:pt>
                <c:pt idx="345">
                  <c:v>-2.8450160377771492</c:v>
                </c:pt>
                <c:pt idx="346">
                  <c:v>-2.8502310074126171</c:v>
                </c:pt>
                <c:pt idx="347">
                  <c:v>-2.8554459923809703</c:v>
                </c:pt>
                <c:pt idx="348">
                  <c:v>-2.8606609926816868</c:v>
                </c:pt>
                <c:pt idx="349">
                  <c:v>-2.8658760083142449</c:v>
                </c:pt>
                <c:pt idx="350">
                  <c:v>-2.8710910392781224</c:v>
                </c:pt>
                <c:pt idx="351">
                  <c:v>-2.8763060855727978</c:v>
                </c:pt>
                <c:pt idx="352">
                  <c:v>-2.8815211471977493</c:v>
                </c:pt>
                <c:pt idx="353">
                  <c:v>-2.8867362241524552</c:v>
                </c:pt>
                <c:pt idx="354">
                  <c:v>-2.8919513164363937</c:v>
                </c:pt>
                <c:pt idx="355">
                  <c:v>-2.8971664240490429</c:v>
                </c:pt>
                <c:pt idx="356">
                  <c:v>-2.9023815469898815</c:v>
                </c:pt>
                <c:pt idx="357">
                  <c:v>-2.9075966852583872</c:v>
                </c:pt>
                <c:pt idx="358">
                  <c:v>-2.9128118388540387</c:v>
                </c:pt>
                <c:pt idx="359">
                  <c:v>-2.9180270077763142</c:v>
                </c:pt>
                <c:pt idx="360">
                  <c:v>-2.9232421920246923</c:v>
                </c:pt>
                <c:pt idx="361">
                  <c:v>-2.9284573915986511</c:v>
                </c:pt>
                <c:pt idx="362">
                  <c:v>-2.933672606497669</c:v>
                </c:pt>
                <c:pt idx="363">
                  <c:v>-2.9388878367212246</c:v>
                </c:pt>
                <c:pt idx="364">
                  <c:v>-2.9441030822687959</c:v>
                </c:pt>
                <c:pt idx="365">
                  <c:v>-2.9493183431398613</c:v>
                </c:pt>
                <c:pt idx="366">
                  <c:v>-2.9545336193338994</c:v>
                </c:pt>
                <c:pt idx="367">
                  <c:v>-2.9597489108503887</c:v>
                </c:pt>
                <c:pt idx="368">
                  <c:v>-2.9649642176888076</c:v>
                </c:pt>
                <c:pt idx="369">
                  <c:v>-2.9701795398486346</c:v>
                </c:pt>
                <c:pt idx="370">
                  <c:v>-2.9753948773293479</c:v>
                </c:pt>
                <c:pt idx="371">
                  <c:v>-2.9806102301304263</c:v>
                </c:pt>
                <c:pt idx="372">
                  <c:v>-2.9858255982513482</c:v>
                </c:pt>
                <c:pt idx="373">
                  <c:v>-2.9910409816915919</c:v>
                </c:pt>
                <c:pt idx="374">
                  <c:v>-2.9962563804506366</c:v>
                </c:pt>
                <c:pt idx="375">
                  <c:v>-3.0014717945279603</c:v>
                </c:pt>
                <c:pt idx="376">
                  <c:v>-3.0066872239230418</c:v>
                </c:pt>
                <c:pt idx="377">
                  <c:v>-3.0119026686353592</c:v>
                </c:pt>
                <c:pt idx="378">
                  <c:v>-3.0171181286643916</c:v>
                </c:pt>
                <c:pt idx="379">
                  <c:v>-3.0223336040096176</c:v>
                </c:pt>
                <c:pt idx="380">
                  <c:v>-3.0275490946705155</c:v>
                </c:pt>
                <c:pt idx="381">
                  <c:v>-3.0327646006465643</c:v>
                </c:pt>
                <c:pt idx="382">
                  <c:v>-3.0379801219372422</c:v>
                </c:pt>
                <c:pt idx="383">
                  <c:v>-3.0431956585420283</c:v>
                </c:pt>
                <c:pt idx="384">
                  <c:v>-3.0484112104604013</c:v>
                </c:pt>
                <c:pt idx="385">
                  <c:v>-3.0536267776918393</c:v>
                </c:pt>
                <c:pt idx="386">
                  <c:v>-3.0588423602358215</c:v>
                </c:pt>
                <c:pt idx="387">
                  <c:v>-3.0640579580918268</c:v>
                </c:pt>
                <c:pt idx="388">
                  <c:v>-3.0692735712593335</c:v>
                </c:pt>
                <c:pt idx="389">
                  <c:v>-3.0744891997378203</c:v>
                </c:pt>
                <c:pt idx="390">
                  <c:v>-3.0797048435267662</c:v>
                </c:pt>
                <c:pt idx="391">
                  <c:v>-3.0849205026256503</c:v>
                </c:pt>
                <c:pt idx="392">
                  <c:v>-3.0901361770339508</c:v>
                </c:pt>
                <c:pt idx="393">
                  <c:v>-3.0953518667511468</c:v>
                </c:pt>
                <c:pt idx="394">
                  <c:v>-3.1005675717767169</c:v>
                </c:pt>
                <c:pt idx="395">
                  <c:v>-3.1057832921101403</c:v>
                </c:pt>
                <c:pt idx="396">
                  <c:v>-3.1109990277508954</c:v>
                </c:pt>
                <c:pt idx="397">
                  <c:v>-3.1162147786984615</c:v>
                </c:pt>
                <c:pt idx="398">
                  <c:v>-3.1214305449523172</c:v>
                </c:pt>
                <c:pt idx="399">
                  <c:v>-3.1266463265119415</c:v>
                </c:pt>
                <c:pt idx="400">
                  <c:v>-3.1318621233768131</c:v>
                </c:pt>
                <c:pt idx="401">
                  <c:v>-3.1370779355464116</c:v>
                </c:pt>
                <c:pt idx="402">
                  <c:v>-3.142293763020215</c:v>
                </c:pt>
                <c:pt idx="403">
                  <c:v>-3.147509605797703</c:v>
                </c:pt>
                <c:pt idx="404">
                  <c:v>-3.1527254638783542</c:v>
                </c:pt>
                <c:pt idx="405">
                  <c:v>-3.1579413372616476</c:v>
                </c:pt>
                <c:pt idx="406">
                  <c:v>-3.1631572259470619</c:v>
                </c:pt>
                <c:pt idx="407">
                  <c:v>-3.1683731299340767</c:v>
                </c:pt>
                <c:pt idx="408">
                  <c:v>-3.1735890492221706</c:v>
                </c:pt>
                <c:pt idx="409">
                  <c:v>-3.1788049838108225</c:v>
                </c:pt>
                <c:pt idx="410">
                  <c:v>-3.1840209336995122</c:v>
                </c:pt>
                <c:pt idx="411">
                  <c:v>-3.1892368988877182</c:v>
                </c:pt>
                <c:pt idx="412">
                  <c:v>-3.1944528793749196</c:v>
                </c:pt>
                <c:pt idx="413">
                  <c:v>-3.1996688751605955</c:v>
                </c:pt>
                <c:pt idx="414">
                  <c:v>-3.204884886244225</c:v>
                </c:pt>
                <c:pt idx="415">
                  <c:v>-3.2101009126252871</c:v>
                </c:pt>
                <c:pt idx="416">
                  <c:v>-3.2153169543032614</c:v>
                </c:pt>
                <c:pt idx="417">
                  <c:v>-3.2205330112776265</c:v>
                </c:pt>
                <c:pt idx="418">
                  <c:v>-3.2257490835478619</c:v>
                </c:pt>
                <c:pt idx="419">
                  <c:v>-3.2309651711134468</c:v>
                </c:pt>
                <c:pt idx="420">
                  <c:v>-3.2361812739738602</c:v>
                </c:pt>
                <c:pt idx="421">
                  <c:v>-3.2413973921285812</c:v>
                </c:pt>
                <c:pt idx="422">
                  <c:v>-3.2466135255770894</c:v>
                </c:pt>
                <c:pt idx="423">
                  <c:v>-3.2518296743188637</c:v>
                </c:pt>
                <c:pt idx="424">
                  <c:v>-3.2570458383533838</c:v>
                </c:pt>
                <c:pt idx="425">
                  <c:v>-3.2622620176801282</c:v>
                </c:pt>
                <c:pt idx="426">
                  <c:v>-3.267478212298577</c:v>
                </c:pt>
                <c:pt idx="427">
                  <c:v>-3.2726944222082088</c:v>
                </c:pt>
                <c:pt idx="428">
                  <c:v>-3.2779106474085036</c:v>
                </c:pt>
                <c:pt idx="429">
                  <c:v>-3.2831268878989399</c:v>
                </c:pt>
                <c:pt idx="430">
                  <c:v>-3.2883431436789978</c:v>
                </c:pt>
                <c:pt idx="431">
                  <c:v>-3.2935594147481564</c:v>
                </c:pt>
                <c:pt idx="432">
                  <c:v>-3.2987757011058947</c:v>
                </c:pt>
                <c:pt idx="433">
                  <c:v>-3.3039920027516922</c:v>
                </c:pt>
                <c:pt idx="434">
                  <c:v>-3.3092083196850286</c:v>
                </c:pt>
                <c:pt idx="435">
                  <c:v>-3.3144246519053833</c:v>
                </c:pt>
                <c:pt idx="436">
                  <c:v>-3.3196409994122353</c:v>
                </c:pt>
                <c:pt idx="437">
                  <c:v>-3.3248573622050643</c:v>
                </c:pt>
                <c:pt idx="438">
                  <c:v>-3.3300737402833498</c:v>
                </c:pt>
                <c:pt idx="439">
                  <c:v>-3.3352901336465712</c:v>
                </c:pt>
                <c:pt idx="440">
                  <c:v>-3.3405065422942077</c:v>
                </c:pt>
                <c:pt idx="441">
                  <c:v>-3.3457229662257393</c:v>
                </c:pt>
                <c:pt idx="442">
                  <c:v>-3.3509394054406454</c:v>
                </c:pt>
                <c:pt idx="443">
                  <c:v>-3.3561558599384052</c:v>
                </c:pt>
                <c:pt idx="444">
                  <c:v>-3.3613723297184985</c:v>
                </c:pt>
                <c:pt idx="445">
                  <c:v>-3.3665888147804046</c:v>
                </c:pt>
                <c:pt idx="446">
                  <c:v>-3.3718053151236034</c:v>
                </c:pt>
                <c:pt idx="447">
                  <c:v>-3.3770218307475743</c:v>
                </c:pt>
                <c:pt idx="448">
                  <c:v>-3.3822383616517966</c:v>
                </c:pt>
                <c:pt idx="449">
                  <c:v>-3.3874549078357501</c:v>
                </c:pt>
                <c:pt idx="450">
                  <c:v>-3.3926714692989148</c:v>
                </c:pt>
                <c:pt idx="451">
                  <c:v>-3.3978880460407699</c:v>
                </c:pt>
                <c:pt idx="452">
                  <c:v>-3.4031046380607952</c:v>
                </c:pt>
                <c:pt idx="453">
                  <c:v>-3.4083212453584704</c:v>
                </c:pt>
                <c:pt idx="454">
                  <c:v>-3.4135378679332748</c:v>
                </c:pt>
                <c:pt idx="455">
                  <c:v>-3.4187545057846886</c:v>
                </c:pt>
                <c:pt idx="456">
                  <c:v>-3.4239711589121913</c:v>
                </c:pt>
                <c:pt idx="457">
                  <c:v>-3.4291878273152627</c:v>
                </c:pt>
                <c:pt idx="458">
                  <c:v>-3.4344045109933825</c:v>
                </c:pt>
                <c:pt idx="459">
                  <c:v>-3.4396212099460302</c:v>
                </c:pt>
                <c:pt idx="460">
                  <c:v>-3.4448379241726856</c:v>
                </c:pt>
                <c:pt idx="461">
                  <c:v>-3.4500546536728289</c:v>
                </c:pt>
                <c:pt idx="462">
                  <c:v>-3.4552713984459396</c:v>
                </c:pt>
                <c:pt idx="463">
                  <c:v>-3.4604881584914975</c:v>
                </c:pt>
                <c:pt idx="464">
                  <c:v>-3.4657049338089823</c:v>
                </c:pt>
                <c:pt idx="465">
                  <c:v>-3.4709217243978738</c:v>
                </c:pt>
                <c:pt idx="466">
                  <c:v>-3.4761385302576522</c:v>
                </c:pt>
                <c:pt idx="467">
                  <c:v>-3.4813553513877973</c:v>
                </c:pt>
                <c:pt idx="468">
                  <c:v>-3.4865721877877887</c:v>
                </c:pt>
                <c:pt idx="469">
                  <c:v>-3.4917890394571063</c:v>
                </c:pt>
                <c:pt idx="470">
                  <c:v>-3.4970059063952301</c:v>
                </c:pt>
                <c:pt idx="471">
                  <c:v>-3.5022227886016402</c:v>
                </c:pt>
                <c:pt idx="472">
                  <c:v>-3.5074396860758164</c:v>
                </c:pt>
                <c:pt idx="473">
                  <c:v>-3.5126565988172382</c:v>
                </c:pt>
                <c:pt idx="474">
                  <c:v>-3.5178735268253862</c:v>
                </c:pt>
                <c:pt idx="475">
                  <c:v>-3.5230904700997403</c:v>
                </c:pt>
                <c:pt idx="476">
                  <c:v>-3.52830742863978</c:v>
                </c:pt>
                <c:pt idx="477">
                  <c:v>-3.5335244024449857</c:v>
                </c:pt>
                <c:pt idx="478">
                  <c:v>-3.5387413915148374</c:v>
                </c:pt>
                <c:pt idx="479">
                  <c:v>-3.543958395848815</c:v>
                </c:pt>
                <c:pt idx="480">
                  <c:v>-3.5491754154463986</c:v>
                </c:pt>
                <c:pt idx="481">
                  <c:v>-3.5543924503070685</c:v>
                </c:pt>
                <c:pt idx="482">
                  <c:v>-3.5596095004303043</c:v>
                </c:pt>
                <c:pt idx="483">
                  <c:v>-3.5648265658155864</c:v>
                </c:pt>
                <c:pt idx="484">
                  <c:v>-3.5700436464623948</c:v>
                </c:pt>
                <c:pt idx="485">
                  <c:v>-3.5752607423702099</c:v>
                </c:pt>
                <c:pt idx="486">
                  <c:v>-3.5804778535385116</c:v>
                </c:pt>
                <c:pt idx="487">
                  <c:v>-3.5856949799667799</c:v>
                </c:pt>
                <c:pt idx="488">
                  <c:v>-3.5909121216544948</c:v>
                </c:pt>
                <c:pt idx="489">
                  <c:v>-3.5961292786011372</c:v>
                </c:pt>
                <c:pt idx="490">
                  <c:v>-3.6013464508061865</c:v>
                </c:pt>
                <c:pt idx="491">
                  <c:v>-3.6065636382691233</c:v>
                </c:pt>
                <c:pt idx="492">
                  <c:v>-3.6117808409894279</c:v>
                </c:pt>
                <c:pt idx="493">
                  <c:v>-3.6169980589665802</c:v>
                </c:pt>
                <c:pt idx="494">
                  <c:v>-3.6222152922000608</c:v>
                </c:pt>
                <c:pt idx="495">
                  <c:v>-3.6274325406893495</c:v>
                </c:pt>
                <c:pt idx="496">
                  <c:v>-3.6326498044339268</c:v>
                </c:pt>
                <c:pt idx="497">
                  <c:v>-3.6378670834332731</c:v>
                </c:pt>
                <c:pt idx="498">
                  <c:v>-3.6430843776868689</c:v>
                </c:pt>
                <c:pt idx="499">
                  <c:v>-3.648301687194194</c:v>
                </c:pt>
                <c:pt idx="500">
                  <c:v>-3.6535190119547289</c:v>
                </c:pt>
                <c:pt idx="501">
                  <c:v>-3.6587363519679541</c:v>
                </c:pt>
                <c:pt idx="502">
                  <c:v>-3.6639537072333499</c:v>
                </c:pt>
                <c:pt idx="503">
                  <c:v>-3.6691710777503967</c:v>
                </c:pt>
                <c:pt idx="504">
                  <c:v>-3.6743884635185746</c:v>
                </c:pt>
                <c:pt idx="505">
                  <c:v>-3.6796058645373644</c:v>
                </c:pt>
                <c:pt idx="506">
                  <c:v>-3.6848232808062464</c:v>
                </c:pt>
                <c:pt idx="507">
                  <c:v>-3.6900407123247008</c:v>
                </c:pt>
                <c:pt idx="508">
                  <c:v>-3.6952581590922082</c:v>
                </c:pt>
                <c:pt idx="509">
                  <c:v>-3.7004756211082492</c:v>
                </c:pt>
                <c:pt idx="510">
                  <c:v>-3.7056930983723042</c:v>
                </c:pt>
                <c:pt idx="511">
                  <c:v>-3.7109105908838536</c:v>
                </c:pt>
                <c:pt idx="512">
                  <c:v>-3.7161280986423777</c:v>
                </c:pt>
                <c:pt idx="513">
                  <c:v>-3.7213456216473575</c:v>
                </c:pt>
                <c:pt idx="514">
                  <c:v>-3.7265631598982729</c:v>
                </c:pt>
                <c:pt idx="515">
                  <c:v>-3.7317807133946048</c:v>
                </c:pt>
                <c:pt idx="516">
                  <c:v>-3.7369982821358341</c:v>
                </c:pt>
                <c:pt idx="517">
                  <c:v>-3.7422158661214406</c:v>
                </c:pt>
                <c:pt idx="518">
                  <c:v>-3.7474334653509054</c:v>
                </c:pt>
                <c:pt idx="519">
                  <c:v>-3.7526510798237092</c:v>
                </c:pt>
                <c:pt idx="520">
                  <c:v>-3.7578687095393324</c:v>
                </c:pt>
                <c:pt idx="521">
                  <c:v>-3.7630863544972555</c:v>
                </c:pt>
                <c:pt idx="522">
                  <c:v>-3.7683040146969593</c:v>
                </c:pt>
                <c:pt idx="523">
                  <c:v>-3.7735216901379247</c:v>
                </c:pt>
                <c:pt idx="524">
                  <c:v>-3.7787393808196321</c:v>
                </c:pt>
                <c:pt idx="525">
                  <c:v>-3.7839570867415619</c:v>
                </c:pt>
                <c:pt idx="526">
                  <c:v>-3.7891748079031951</c:v>
                </c:pt>
                <c:pt idx="527">
                  <c:v>-3.7943925443040123</c:v>
                </c:pt>
                <c:pt idx="528">
                  <c:v>-3.7996102959434945</c:v>
                </c:pt>
                <c:pt idx="529">
                  <c:v>-3.8048280628211222</c:v>
                </c:pt>
                <c:pt idx="530">
                  <c:v>-3.8100458449363761</c:v>
                </c:pt>
                <c:pt idx="531">
                  <c:v>-3.8152636422887372</c:v>
                </c:pt>
                <c:pt idx="532">
                  <c:v>-3.8204814548776862</c:v>
                </c:pt>
                <c:pt idx="533">
                  <c:v>-3.8256992827027037</c:v>
                </c:pt>
                <c:pt idx="534">
                  <c:v>-3.8309171257632708</c:v>
                </c:pt>
                <c:pt idx="535">
                  <c:v>-3.8361349840588681</c:v>
                </c:pt>
                <c:pt idx="536">
                  <c:v>-3.8413528575889768</c:v>
                </c:pt>
                <c:pt idx="537">
                  <c:v>-3.8465707463530774</c:v>
                </c:pt>
                <c:pt idx="538">
                  <c:v>-3.8517886503506507</c:v>
                </c:pt>
                <c:pt idx="539">
                  <c:v>-3.8570065695811779</c:v>
                </c:pt>
                <c:pt idx="540">
                  <c:v>-3.8622245040441396</c:v>
                </c:pt>
                <c:pt idx="541">
                  <c:v>-3.8674424537390171</c:v>
                </c:pt>
                <c:pt idx="542">
                  <c:v>-3.8726604186652906</c:v>
                </c:pt>
                <c:pt idx="543">
                  <c:v>-3.8778783988224417</c:v>
                </c:pt>
                <c:pt idx="544">
                  <c:v>-3.883096394209951</c:v>
                </c:pt>
                <c:pt idx="545">
                  <c:v>-3.8883144048273</c:v>
                </c:pt>
                <c:pt idx="546">
                  <c:v>-3.8935324306739689</c:v>
                </c:pt>
                <c:pt idx="547">
                  <c:v>-3.8987504717494392</c:v>
                </c:pt>
                <c:pt idx="548">
                  <c:v>-3.9039685280531922</c:v>
                </c:pt>
                <c:pt idx="549">
                  <c:v>-3.9091865995847082</c:v>
                </c:pt>
                <c:pt idx="550">
                  <c:v>-3.9144046863434685</c:v>
                </c:pt>
                <c:pt idx="551">
                  <c:v>-3.9196227883289545</c:v>
                </c:pt>
                <c:pt idx="552">
                  <c:v>-3.924840905540647</c:v>
                </c:pt>
                <c:pt idx="553">
                  <c:v>-3.9300590379780269</c:v>
                </c:pt>
                <c:pt idx="554">
                  <c:v>-3.9352771856405755</c:v>
                </c:pt>
                <c:pt idx="555">
                  <c:v>-3.9404953485277741</c:v>
                </c:pt>
                <c:pt idx="556">
                  <c:v>-3.9457135266391035</c:v>
                </c:pt>
                <c:pt idx="557">
                  <c:v>-3.950931719974045</c:v>
                </c:pt>
                <c:pt idx="558">
                  <c:v>-3.9561499285320796</c:v>
                </c:pt>
                <c:pt idx="559">
                  <c:v>-3.9613681523126885</c:v>
                </c:pt>
                <c:pt idx="560">
                  <c:v>-3.966586391315353</c:v>
                </c:pt>
                <c:pt idx="561">
                  <c:v>-3.9718046455395544</c:v>
                </c:pt>
                <c:pt idx="562">
                  <c:v>-3.9770229149847736</c:v>
                </c:pt>
                <c:pt idx="563">
                  <c:v>-3.9822411996504918</c:v>
                </c:pt>
                <c:pt idx="564">
                  <c:v>-3.9874594995361905</c:v>
                </c:pt>
                <c:pt idx="565">
                  <c:v>-3.9926778146413509</c:v>
                </c:pt>
                <c:pt idx="566">
                  <c:v>-3.9978961449654542</c:v>
                </c:pt>
                <c:pt idx="567">
                  <c:v>-4.0031144905079818</c:v>
                </c:pt>
                <c:pt idx="568">
                  <c:v>-4.0083328512684151</c:v>
                </c:pt>
                <c:pt idx="569">
                  <c:v>-4.0135512272462348</c:v>
                </c:pt>
                <c:pt idx="570">
                  <c:v>-4.0187696184409232</c:v>
                </c:pt>
                <c:pt idx="571">
                  <c:v>-4.0239880248519606</c:v>
                </c:pt>
                <c:pt idx="572">
                  <c:v>-4.0292064464788284</c:v>
                </c:pt>
                <c:pt idx="573">
                  <c:v>-4.0344248833210088</c:v>
                </c:pt>
                <c:pt idx="574">
                  <c:v>-4.039643335377983</c:v>
                </c:pt>
                <c:pt idx="575">
                  <c:v>-4.0448618026492316</c:v>
                </c:pt>
                <c:pt idx="576">
                  <c:v>-4.0500802851342366</c:v>
                </c:pt>
                <c:pt idx="577">
                  <c:v>-4.0552987828324794</c:v>
                </c:pt>
                <c:pt idx="578">
                  <c:v>-4.0605172957434412</c:v>
                </c:pt>
                <c:pt idx="579">
                  <c:v>-4.0657358238666044</c:v>
                </c:pt>
                <c:pt idx="580">
                  <c:v>-4.0709543672014492</c:v>
                </c:pt>
                <c:pt idx="581">
                  <c:v>-4.0761729257474579</c:v>
                </c:pt>
                <c:pt idx="582">
                  <c:v>-4.0813914995041118</c:v>
                </c:pt>
                <c:pt idx="583">
                  <c:v>-4.0866100884708922</c:v>
                </c:pt>
                <c:pt idx="584">
                  <c:v>-4.0918286926472804</c:v>
                </c:pt>
                <c:pt idx="585">
                  <c:v>-4.0970473120327586</c:v>
                </c:pt>
                <c:pt idx="586">
                  <c:v>-4.1022659466268081</c:v>
                </c:pt>
                <c:pt idx="587">
                  <c:v>-4.1074845964289102</c:v>
                </c:pt>
                <c:pt idx="588">
                  <c:v>-4.1127032614385461</c:v>
                </c:pt>
                <c:pt idx="589">
                  <c:v>-4.1179219416551982</c:v>
                </c:pt>
                <c:pt idx="590">
                  <c:v>-4.1231406370783477</c:v>
                </c:pt>
                <c:pt idx="591">
                  <c:v>-4.1283593477074767</c:v>
                </c:pt>
                <c:pt idx="592">
                  <c:v>-4.1335780735420666</c:v>
                </c:pt>
                <c:pt idx="593">
                  <c:v>-4.1387968145815988</c:v>
                </c:pt>
                <c:pt idx="594">
                  <c:v>-4.1440155708255553</c:v>
                </c:pt>
                <c:pt idx="595">
                  <c:v>-4.1492343422734175</c:v>
                </c:pt>
                <c:pt idx="596">
                  <c:v>-4.1544531289246667</c:v>
                </c:pt>
                <c:pt idx="597">
                  <c:v>-4.1596719307787851</c:v>
                </c:pt>
                <c:pt idx="598">
                  <c:v>-4.1648907478352548</c:v>
                </c:pt>
                <c:pt idx="599">
                  <c:v>-4.1701095800935573</c:v>
                </c:pt>
                <c:pt idx="600">
                  <c:v>-4.1753284275531737</c:v>
                </c:pt>
                <c:pt idx="601">
                  <c:v>-4.1805472902135863</c:v>
                </c:pt>
                <c:pt idx="602">
                  <c:v>-4.1857661680742773</c:v>
                </c:pt>
                <c:pt idx="603">
                  <c:v>-4.1909850611347279</c:v>
                </c:pt>
                <c:pt idx="604">
                  <c:v>-4.1962039693944195</c:v>
                </c:pt>
                <c:pt idx="605">
                  <c:v>-4.2014228928528352</c:v>
                </c:pt>
                <c:pt idx="606">
                  <c:v>-4.2066418315094554</c:v>
                </c:pt>
                <c:pt idx="607">
                  <c:v>-4.2118607853637631</c:v>
                </c:pt>
                <c:pt idx="608">
                  <c:v>-4.2170797544152396</c:v>
                </c:pt>
                <c:pt idx="609">
                  <c:v>-4.2222987386633664</c:v>
                </c:pt>
                <c:pt idx="610">
                  <c:v>-4.2275177381076263</c:v>
                </c:pt>
                <c:pt idx="611">
                  <c:v>-4.2327367527475008</c:v>
                </c:pt>
                <c:pt idx="612">
                  <c:v>-4.2379557825824712</c:v>
                </c:pt>
                <c:pt idx="613">
                  <c:v>-4.2431748276120205</c:v>
                </c:pt>
                <c:pt idx="614">
                  <c:v>-4.24839388783563</c:v>
                </c:pt>
                <c:pt idx="615">
                  <c:v>-4.2536129632527819</c:v>
                </c:pt>
                <c:pt idx="616">
                  <c:v>-4.2588320538629576</c:v>
                </c:pt>
                <c:pt idx="617">
                  <c:v>-4.2640511596656401</c:v>
                </c:pt>
                <c:pt idx="618">
                  <c:v>-4.2692702806603107</c:v>
                </c:pt>
                <c:pt idx="619">
                  <c:v>-4.2744894168464516</c:v>
                </c:pt>
                <c:pt idx="620">
                  <c:v>-4.279708568223545</c:v>
                </c:pt>
                <c:pt idx="621">
                  <c:v>-4.2849277347910721</c:v>
                </c:pt>
                <c:pt idx="622">
                  <c:v>-4.2901469165485162</c:v>
                </c:pt>
                <c:pt idx="623">
                  <c:v>-4.2953661134953585</c:v>
                </c:pt>
                <c:pt idx="624">
                  <c:v>-4.3005853256310811</c:v>
                </c:pt>
                <c:pt idx="625">
                  <c:v>-4.3058045529551672</c:v>
                </c:pt>
                <c:pt idx="626">
                  <c:v>-4.311023795467098</c:v>
                </c:pt>
                <c:pt idx="627">
                  <c:v>-4.3162430531663558</c:v>
                </c:pt>
                <c:pt idx="628">
                  <c:v>-4.3214623260524219</c:v>
                </c:pt>
                <c:pt idx="629">
                  <c:v>-4.3266816141247793</c:v>
                </c:pt>
                <c:pt idx="630">
                  <c:v>-4.3319009173829102</c:v>
                </c:pt>
                <c:pt idx="631">
                  <c:v>-4.3371202358262968</c:v>
                </c:pt>
                <c:pt idx="632">
                  <c:v>-4.3423395694544213</c:v>
                </c:pt>
                <c:pt idx="633">
                  <c:v>-4.347558918266766</c:v>
                </c:pt>
                <c:pt idx="634">
                  <c:v>-4.3527782822628129</c:v>
                </c:pt>
                <c:pt idx="635">
                  <c:v>-4.3579976614420444</c:v>
                </c:pt>
                <c:pt idx="636">
                  <c:v>-4.3632170558039425</c:v>
                </c:pt>
                <c:pt idx="637">
                  <c:v>-4.3684364653479895</c:v>
                </c:pt>
                <c:pt idx="638">
                  <c:v>-4.3736558900736675</c:v>
                </c:pt>
                <c:pt idx="639">
                  <c:v>-4.3788753299804597</c:v>
                </c:pt>
                <c:pt idx="640">
                  <c:v>-4.3840947850678473</c:v>
                </c:pt>
                <c:pt idx="641">
                  <c:v>-4.3893142553353135</c:v>
                </c:pt>
                <c:pt idx="642">
                  <c:v>-4.3945337407823404</c:v>
                </c:pt>
                <c:pt idx="643">
                  <c:v>-4.3997532414084102</c:v>
                </c:pt>
                <c:pt idx="644">
                  <c:v>-4.4049727572130051</c:v>
                </c:pt>
                <c:pt idx="645">
                  <c:v>-4.4101922881956073</c:v>
                </c:pt>
                <c:pt idx="646">
                  <c:v>-4.4154118343556998</c:v>
                </c:pt>
                <c:pt idx="647">
                  <c:v>-4.420631395692765</c:v>
                </c:pt>
                <c:pt idx="648">
                  <c:v>-4.4258509722062849</c:v>
                </c:pt>
                <c:pt idx="649">
                  <c:v>-4.4310705638957426</c:v>
                </c:pt>
                <c:pt idx="650">
                  <c:v>-4.4362901707606204</c:v>
                </c:pt>
                <c:pt idx="651">
                  <c:v>-4.4415097928004004</c:v>
                </c:pt>
                <c:pt idx="652">
                  <c:v>-4.4467294300145648</c:v>
                </c:pt>
                <c:pt idx="653">
                  <c:v>-4.4519490824025967</c:v>
                </c:pt>
                <c:pt idx="654">
                  <c:v>-4.4571687499639783</c:v>
                </c:pt>
                <c:pt idx="655">
                  <c:v>-4.4623884326981926</c:v>
                </c:pt>
                <c:pt idx="656">
                  <c:v>-4.4676081306047211</c:v>
                </c:pt>
                <c:pt idx="657">
                  <c:v>-4.4728278436830475</c:v>
                </c:pt>
                <c:pt idx="658">
                  <c:v>-4.4780475719326542</c:v>
                </c:pt>
                <c:pt idx="659">
                  <c:v>-4.4832673153530234</c:v>
                </c:pt>
                <c:pt idx="660">
                  <c:v>-4.4884870739436371</c:v>
                </c:pt>
                <c:pt idx="661">
                  <c:v>-4.4937068477039794</c:v>
                </c:pt>
                <c:pt idx="662">
                  <c:v>-4.4989266366335317</c:v>
                </c:pt>
                <c:pt idx="663">
                  <c:v>-4.5041464407317768</c:v>
                </c:pt>
                <c:pt idx="664">
                  <c:v>-4.5093662599981981</c:v>
                </c:pt>
                <c:pt idx="665">
                  <c:v>-4.5145860944322775</c:v>
                </c:pt>
                <c:pt idx="666">
                  <c:v>-4.5198059440334983</c:v>
                </c:pt>
                <c:pt idx="667">
                  <c:v>-4.5250258088013426</c:v>
                </c:pt>
                <c:pt idx="668">
                  <c:v>-4.5302456887352935</c:v>
                </c:pt>
                <c:pt idx="669">
                  <c:v>-4.5354655838348332</c:v>
                </c:pt>
                <c:pt idx="670">
                  <c:v>-4.5406854940994457</c:v>
                </c:pt>
                <c:pt idx="671">
                  <c:v>-4.5459054195286122</c:v>
                </c:pt>
                <c:pt idx="672">
                  <c:v>-4.5511253601218167</c:v>
                </c:pt>
                <c:pt idx="673">
                  <c:v>-4.5563453158785414</c:v>
                </c:pt>
                <c:pt idx="674">
                  <c:v>-4.5615652867982686</c:v>
                </c:pt>
                <c:pt idx="675">
                  <c:v>-4.5667852728804821</c:v>
                </c:pt>
                <c:pt idx="676">
                  <c:v>-4.5720052741246642</c:v>
                </c:pt>
                <c:pt idx="677">
                  <c:v>-4.5772252905302979</c:v>
                </c:pt>
                <c:pt idx="678">
                  <c:v>-4.5824453220968655</c:v>
                </c:pt>
                <c:pt idx="679">
                  <c:v>-4.5876653688238509</c:v>
                </c:pt>
                <c:pt idx="680">
                  <c:v>-4.5928854307107363</c:v>
                </c:pt>
                <c:pt idx="681">
                  <c:v>-4.5981055077570048</c:v>
                </c:pt>
                <c:pt idx="682">
                  <c:v>-4.6033255999621394</c:v>
                </c:pt>
                <c:pt idx="683">
                  <c:v>-4.6085457073256224</c:v>
                </c:pt>
                <c:pt idx="684">
                  <c:v>-4.6137658298469377</c:v>
                </c:pt>
                <c:pt idx="685">
                  <c:v>-4.6189859675255676</c:v>
                </c:pt>
                <c:pt idx="686">
                  <c:v>-4.624206120360995</c:v>
                </c:pt>
                <c:pt idx="687">
                  <c:v>-4.6294262883527031</c:v>
                </c:pt>
                <c:pt idx="688">
                  <c:v>-4.6346464715001749</c:v>
                </c:pt>
                <c:pt idx="689">
                  <c:v>-4.6398666698028936</c:v>
                </c:pt>
                <c:pt idx="690">
                  <c:v>-4.6450868832603422</c:v>
                </c:pt>
                <c:pt idx="691">
                  <c:v>-4.650307111872003</c:v>
                </c:pt>
                <c:pt idx="692">
                  <c:v>-4.6555273556373598</c:v>
                </c:pt>
                <c:pt idx="693">
                  <c:v>-4.6607476145558957</c:v>
                </c:pt>
                <c:pt idx="694">
                  <c:v>-4.665967888627093</c:v>
                </c:pt>
                <c:pt idx="695">
                  <c:v>-4.6711881778504356</c:v>
                </c:pt>
                <c:pt idx="696">
                  <c:v>-4.6764084822254066</c:v>
                </c:pt>
                <c:pt idx="697">
                  <c:v>-4.6816288017514891</c:v>
                </c:pt>
                <c:pt idx="698">
                  <c:v>-4.6868491364281661</c:v>
                </c:pt>
                <c:pt idx="699">
                  <c:v>-4.6920694862549199</c:v>
                </c:pt>
                <c:pt idx="700">
                  <c:v>-4.6972898512312344</c:v>
                </c:pt>
                <c:pt idx="701">
                  <c:v>-4.7025102313565936</c:v>
                </c:pt>
                <c:pt idx="702">
                  <c:v>-4.7077306266304797</c:v>
                </c:pt>
                <c:pt idx="703">
                  <c:v>-4.7129510370523757</c:v>
                </c:pt>
                <c:pt idx="704">
                  <c:v>-4.7181714626217657</c:v>
                </c:pt>
                <c:pt idx="705">
                  <c:v>-4.7233919033381326</c:v>
                </c:pt>
                <c:pt idx="706">
                  <c:v>-4.7286123592009588</c:v>
                </c:pt>
                <c:pt idx="707">
                  <c:v>-4.733832830209729</c:v>
                </c:pt>
                <c:pt idx="708">
                  <c:v>-4.7390533163639255</c:v>
                </c:pt>
                <c:pt idx="709">
                  <c:v>-4.7442738176630321</c:v>
                </c:pt>
                <c:pt idx="710">
                  <c:v>-4.7494943341065312</c:v>
                </c:pt>
                <c:pt idx="711">
                  <c:v>-4.7547148656939076</c:v>
                </c:pt>
                <c:pt idx="712">
                  <c:v>-4.7599354124246434</c:v>
                </c:pt>
                <c:pt idx="713">
                  <c:v>-4.7651559742982226</c:v>
                </c:pt>
                <c:pt idx="714">
                  <c:v>-4.7703765513141283</c:v>
                </c:pt>
                <c:pt idx="715">
                  <c:v>-4.7755971434718436</c:v>
                </c:pt>
                <c:pt idx="716">
                  <c:v>-4.7808177507708525</c:v>
                </c:pt>
                <c:pt idx="717">
                  <c:v>-4.786038373210638</c:v>
                </c:pt>
                <c:pt idx="718">
                  <c:v>-4.7912590107906832</c:v>
                </c:pt>
                <c:pt idx="719">
                  <c:v>-4.7964796635104721</c:v>
                </c:pt>
                <c:pt idx="720">
                  <c:v>-4.8017003313694877</c:v>
                </c:pt>
                <c:pt idx="721">
                  <c:v>-4.8069210143672141</c:v>
                </c:pt>
                <c:pt idx="722">
                  <c:v>-4.8121417125031343</c:v>
                </c:pt>
                <c:pt idx="723">
                  <c:v>-4.8173624257767322</c:v>
                </c:pt>
                <c:pt idx="724">
                  <c:v>-4.8225831541874911</c:v>
                </c:pt>
                <c:pt idx="725">
                  <c:v>-4.8278038977348947</c:v>
                </c:pt>
                <c:pt idx="726">
                  <c:v>-4.8330246564184263</c:v>
                </c:pt>
                <c:pt idx="727">
                  <c:v>-4.8382454302375688</c:v>
                </c:pt>
                <c:pt idx="728">
                  <c:v>-4.8434662191918063</c:v>
                </c:pt>
                <c:pt idx="729">
                  <c:v>-4.8486870232806227</c:v>
                </c:pt>
                <c:pt idx="730">
                  <c:v>-4.8539078425035012</c:v>
                </c:pt>
                <c:pt idx="731">
                  <c:v>-4.8591286768599256</c:v>
                </c:pt>
                <c:pt idx="732">
                  <c:v>-4.8643495263493799</c:v>
                </c:pt>
                <c:pt idx="733">
                  <c:v>-4.8695703909713473</c:v>
                </c:pt>
                <c:pt idx="734">
                  <c:v>-4.8747912707253116</c:v>
                </c:pt>
                <c:pt idx="735">
                  <c:v>-4.880012165610756</c:v>
                </c:pt>
                <c:pt idx="736">
                  <c:v>-4.8852330756271645</c:v>
                </c:pt>
                <c:pt idx="737">
                  <c:v>-4.8904540007740209</c:v>
                </c:pt>
                <c:pt idx="738">
                  <c:v>-4.8956749410508085</c:v>
                </c:pt>
                <c:pt idx="739">
                  <c:v>-4.9008958964570111</c:v>
                </c:pt>
                <c:pt idx="740">
                  <c:v>-4.9061168669921127</c:v>
                </c:pt>
                <c:pt idx="741">
                  <c:v>-4.9113378526555973</c:v>
                </c:pt>
                <c:pt idx="742">
                  <c:v>-4.916558853446948</c:v>
                </c:pt>
                <c:pt idx="743">
                  <c:v>-4.9217798693656496</c:v>
                </c:pt>
                <c:pt idx="744">
                  <c:v>-4.9270009004111852</c:v>
                </c:pt>
                <c:pt idx="745">
                  <c:v>-4.9322219465830379</c:v>
                </c:pt>
                <c:pt idx="746">
                  <c:v>-4.9374430078806926</c:v>
                </c:pt>
                <c:pt idx="747">
                  <c:v>-4.9426640843036331</c:v>
                </c:pt>
                <c:pt idx="748">
                  <c:v>-4.9478851758513427</c:v>
                </c:pt>
                <c:pt idx="749">
                  <c:v>-4.9531062825233052</c:v>
                </c:pt>
                <c:pt idx="750">
                  <c:v>-4.9583274043190046</c:v>
                </c:pt>
                <c:pt idx="751">
                  <c:v>-4.963548541237925</c:v>
                </c:pt>
                <c:pt idx="752">
                  <c:v>-4.9687696932795502</c:v>
                </c:pt>
                <c:pt idx="753">
                  <c:v>-4.9739908604433642</c:v>
                </c:pt>
                <c:pt idx="754">
                  <c:v>-4.9792120427288511</c:v>
                </c:pt>
                <c:pt idx="755">
                  <c:v>-4.9844332401354947</c:v>
                </c:pt>
                <c:pt idx="756">
                  <c:v>-4.9896544526627782</c:v>
                </c:pt>
                <c:pt idx="757">
                  <c:v>-4.9948756803101864</c:v>
                </c:pt>
                <c:pt idx="758">
                  <c:v>-5.0000969230772032</c:v>
                </c:pt>
                <c:pt idx="759">
                  <c:v>-5.0053181809633127</c:v>
                </c:pt>
                <c:pt idx="760">
                  <c:v>-5.0105394539679988</c:v>
                </c:pt>
                <c:pt idx="761">
                  <c:v>-5.0157607420907455</c:v>
                </c:pt>
                <c:pt idx="762">
                  <c:v>-5.0209820453310368</c:v>
                </c:pt>
                <c:pt idx="763">
                  <c:v>-5.0262033636883565</c:v>
                </c:pt>
                <c:pt idx="764">
                  <c:v>-5.0314246971621888</c:v>
                </c:pt>
                <c:pt idx="765">
                  <c:v>-5.0366460457520175</c:v>
                </c:pt>
                <c:pt idx="766">
                  <c:v>-5.0418674094573275</c:v>
                </c:pt>
                <c:pt idx="767">
                  <c:v>-5.0470887882776028</c:v>
                </c:pt>
                <c:pt idx="768">
                  <c:v>-5.0523101822123273</c:v>
                </c:pt>
                <c:pt idx="769">
                  <c:v>-5.0575315912609851</c:v>
                </c:pt>
                <c:pt idx="770">
                  <c:v>-5.06275301542306</c:v>
                </c:pt>
                <c:pt idx="771">
                  <c:v>-5.0679744546980361</c:v>
                </c:pt>
                <c:pt idx="772">
                  <c:v>-5.0731959090853982</c:v>
                </c:pt>
                <c:pt idx="773">
                  <c:v>-5.0784173785846303</c:v>
                </c:pt>
                <c:pt idx="774">
                  <c:v>-5.0836388631952163</c:v>
                </c:pt>
                <c:pt idx="775">
                  <c:v>-5.0888603629166411</c:v>
                </c:pt>
                <c:pt idx="776">
                  <c:v>-5.0940818777483887</c:v>
                </c:pt>
                <c:pt idx="777">
                  <c:v>-5.0993034076899431</c:v>
                </c:pt>
                <c:pt idx="778">
                  <c:v>-5.104524952740789</c:v>
                </c:pt>
                <c:pt idx="779">
                  <c:v>-5.1097465129004105</c:v>
                </c:pt>
                <c:pt idx="780">
                  <c:v>-5.1149680881682915</c:v>
                </c:pt>
                <c:pt idx="781">
                  <c:v>-5.120189678543916</c:v>
                </c:pt>
                <c:pt idx="782">
                  <c:v>-5.1254112840267698</c:v>
                </c:pt>
                <c:pt idx="783">
                  <c:v>-5.1306329046163359</c:v>
                </c:pt>
                <c:pt idx="784">
                  <c:v>-5.1358545403120992</c:v>
                </c:pt>
                <c:pt idx="785">
                  <c:v>-5.1410761911135436</c:v>
                </c:pt>
                <c:pt idx="786">
                  <c:v>-5.1462978570201541</c:v>
                </c:pt>
                <c:pt idx="787">
                  <c:v>-5.1515195380314145</c:v>
                </c:pt>
                <c:pt idx="788">
                  <c:v>-5.1567412341468097</c:v>
                </c:pt>
                <c:pt idx="789">
                  <c:v>-5.1619629453658238</c:v>
                </c:pt>
                <c:pt idx="790">
                  <c:v>-5.1671846716879415</c:v>
                </c:pt>
                <c:pt idx="791">
                  <c:v>-5.1724064131126477</c:v>
                </c:pt>
                <c:pt idx="792">
                  <c:v>-5.1776281696394264</c:v>
                </c:pt>
                <c:pt idx="793">
                  <c:v>-5.1828499412677616</c:v>
                </c:pt>
                <c:pt idx="794">
                  <c:v>-5.188071727997138</c:v>
                </c:pt>
                <c:pt idx="795">
                  <c:v>-5.1932935298270406</c:v>
                </c:pt>
                <c:pt idx="796">
                  <c:v>-5.1985153467569534</c:v>
                </c:pt>
                <c:pt idx="797">
                  <c:v>-5.2037371787863611</c:v>
                </c:pt>
                <c:pt idx="798">
                  <c:v>-5.2089590259147487</c:v>
                </c:pt>
                <c:pt idx="799">
                  <c:v>-5.2141808881416001</c:v>
                </c:pt>
                <c:pt idx="800">
                  <c:v>-5.2194027654664001</c:v>
                </c:pt>
                <c:pt idx="801">
                  <c:v>-5.2246246578886337</c:v>
                </c:pt>
                <c:pt idx="802">
                  <c:v>-5.2298465654077848</c:v>
                </c:pt>
                <c:pt idx="803">
                  <c:v>-5.2350684880233382</c:v>
                </c:pt>
                <c:pt idx="804">
                  <c:v>-5.2402904257347789</c:v>
                </c:pt>
                <c:pt idx="805">
                  <c:v>-5.2455123785415916</c:v>
                </c:pt>
                <c:pt idx="806">
                  <c:v>-5.2507343464432603</c:v>
                </c:pt>
                <c:pt idx="807">
                  <c:v>-5.2559563294392708</c:v>
                </c:pt>
                <c:pt idx="808">
                  <c:v>-5.2611783275291071</c:v>
                </c:pt>
                <c:pt idx="809">
                  <c:v>-5.2664003407122539</c:v>
                </c:pt>
                <c:pt idx="810">
                  <c:v>-5.2716223689881954</c:v>
                </c:pt>
                <c:pt idx="811">
                  <c:v>-5.2768444123564171</c:v>
                </c:pt>
                <c:pt idx="812">
                  <c:v>-5.2820664708164031</c:v>
                </c:pt>
                <c:pt idx="813">
                  <c:v>-5.2872885443676392</c:v>
                </c:pt>
                <c:pt idx="814">
                  <c:v>-5.2925106330096092</c:v>
                </c:pt>
                <c:pt idx="815">
                  <c:v>-5.2977327367417981</c:v>
                </c:pt>
                <c:pt idx="816">
                  <c:v>-5.3029548555636907</c:v>
                </c:pt>
                <c:pt idx="817">
                  <c:v>-5.3081769894747719</c:v>
                </c:pt>
                <c:pt idx="818">
                  <c:v>-5.3133991384745274</c:v>
                </c:pt>
                <c:pt idx="819">
                  <c:v>-5.3186213025624411</c:v>
                </c:pt>
                <c:pt idx="820">
                  <c:v>-5.323843481737998</c:v>
                </c:pt>
                <c:pt idx="821">
                  <c:v>-5.3290656760006829</c:v>
                </c:pt>
                <c:pt idx="822">
                  <c:v>-5.3342878853499807</c:v>
                </c:pt>
                <c:pt idx="823">
                  <c:v>-5.3395101097853761</c:v>
                </c:pt>
                <c:pt idx="824">
                  <c:v>-5.3447323493063541</c:v>
                </c:pt>
                <c:pt idx="825">
                  <c:v>-5.3499546039124004</c:v>
                </c:pt>
                <c:pt idx="826">
                  <c:v>-5.355176873602999</c:v>
                </c:pt>
                <c:pt idx="827">
                  <c:v>-5.3603991583776356</c:v>
                </c:pt>
                <c:pt idx="828">
                  <c:v>-5.3656214582357942</c:v>
                </c:pt>
                <c:pt idx="829">
                  <c:v>-5.3708437731769605</c:v>
                </c:pt>
                <c:pt idx="830">
                  <c:v>-5.3760661032006194</c:v>
                </c:pt>
                <c:pt idx="831">
                  <c:v>-5.3812884483062566</c:v>
                </c:pt>
                <c:pt idx="832">
                  <c:v>-5.3865108084933562</c:v>
                </c:pt>
                <c:pt idx="833">
                  <c:v>-5.3917331837614038</c:v>
                </c:pt>
                <c:pt idx="834">
                  <c:v>-5.3969555741098834</c:v>
                </c:pt>
                <c:pt idx="835">
                  <c:v>-5.4021779795382807</c:v>
                </c:pt>
                <c:pt idx="836">
                  <c:v>-5.4074004000460816</c:v>
                </c:pt>
                <c:pt idx="837">
                  <c:v>-5.4126228356327699</c:v>
                </c:pt>
                <c:pt idx="838">
                  <c:v>-5.4178452862978315</c:v>
                </c:pt>
                <c:pt idx="839">
                  <c:v>-5.4230677520407511</c:v>
                </c:pt>
                <c:pt idx="840">
                  <c:v>-5.4282902328610145</c:v>
                </c:pt>
                <c:pt idx="841">
                  <c:v>-5.4335127287581066</c:v>
                </c:pt>
                <c:pt idx="842">
                  <c:v>-5.4387352397315123</c:v>
                </c:pt>
                <c:pt idx="843">
                  <c:v>-5.4439577657807172</c:v>
                </c:pt>
                <c:pt idx="844">
                  <c:v>-5.4491803069052063</c:v>
                </c:pt>
                <c:pt idx="845">
                  <c:v>-5.4544028631044643</c:v>
                </c:pt>
                <c:pt idx="846">
                  <c:v>-5.4596254343779771</c:v>
                </c:pt>
                <c:pt idx="847">
                  <c:v>-5.4648480207252295</c:v>
                </c:pt>
                <c:pt idx="848">
                  <c:v>-5.4700706221457072</c:v>
                </c:pt>
                <c:pt idx="849">
                  <c:v>-5.4752932386388951</c:v>
                </c:pt>
                <c:pt idx="850">
                  <c:v>-5.4805158702042789</c:v>
                </c:pt>
                <c:pt idx="851">
                  <c:v>-5.4857385168413435</c:v>
                </c:pt>
                <c:pt idx="852">
                  <c:v>-5.4909611785495738</c:v>
                </c:pt>
                <c:pt idx="853">
                  <c:v>-5.4961838553284563</c:v>
                </c:pt>
                <c:pt idx="854">
                  <c:v>-5.5014065471774751</c:v>
                </c:pt>
                <c:pt idx="855">
                  <c:v>-5.5066292540961168</c:v>
                </c:pt>
                <c:pt idx="856">
                  <c:v>-5.5118519760838662</c:v>
                </c:pt>
                <c:pt idx="857">
                  <c:v>-5.5170747131402083</c:v>
                </c:pt>
                <c:pt idx="858">
                  <c:v>-5.5222974652646286</c:v>
                </c:pt>
                <c:pt idx="859">
                  <c:v>-5.5275202324566131</c:v>
                </c:pt>
                <c:pt idx="860">
                  <c:v>-5.5327430147156464</c:v>
                </c:pt>
                <c:pt idx="861">
                  <c:v>-5.5379658120412145</c:v>
                </c:pt>
                <c:pt idx="862">
                  <c:v>-5.543188624432803</c:v>
                </c:pt>
                <c:pt idx="863">
                  <c:v>-5.5484114518898968</c:v>
                </c:pt>
                <c:pt idx="864">
                  <c:v>-5.5536342944119816</c:v>
                </c:pt>
                <c:pt idx="865">
                  <c:v>-5.5588571519985432</c:v>
                </c:pt>
                <c:pt idx="866">
                  <c:v>-5.5640800246490674</c:v>
                </c:pt>
                <c:pt idx="867">
                  <c:v>-5.5693029123630389</c:v>
                </c:pt>
                <c:pt idx="868">
                  <c:v>-5.5745258151399435</c:v>
                </c:pt>
                <c:pt idx="869">
                  <c:v>-5.579748732979267</c:v>
                </c:pt>
                <c:pt idx="870">
                  <c:v>-5.5849716658804942</c:v>
                </c:pt>
                <c:pt idx="871">
                  <c:v>-5.5901946138431118</c:v>
                </c:pt>
                <c:pt idx="872">
                  <c:v>-5.5954175768666046</c:v>
                </c:pt>
                <c:pt idx="873">
                  <c:v>-5.6006405549504583</c:v>
                </c:pt>
                <c:pt idx="874">
                  <c:v>-5.6058635480941588</c:v>
                </c:pt>
                <c:pt idx="875">
                  <c:v>-5.6110865562971917</c:v>
                </c:pt>
                <c:pt idx="876">
                  <c:v>-5.6163095795590428</c:v>
                </c:pt>
                <c:pt idx="877">
                  <c:v>-5.6215326178791978</c:v>
                </c:pt>
                <c:pt idx="878">
                  <c:v>-5.6267556712571416</c:v>
                </c:pt>
                <c:pt idx="879">
                  <c:v>-5.6319787396923608</c:v>
                </c:pt>
                <c:pt idx="880">
                  <c:v>-5.6372018231843404</c:v>
                </c:pt>
                <c:pt idx="881">
                  <c:v>-5.6424249217325668</c:v>
                </c:pt>
                <c:pt idx="882">
                  <c:v>-5.647648035336525</c:v>
                </c:pt>
                <c:pt idx="883">
                  <c:v>-5.6528711639957017</c:v>
                </c:pt>
                <c:pt idx="884">
                  <c:v>-5.6580943077095815</c:v>
                </c:pt>
                <c:pt idx="885">
                  <c:v>-5.6633174664776513</c:v>
                </c:pt>
                <c:pt idx="886">
                  <c:v>-5.6685406402993959</c:v>
                </c:pt>
                <c:pt idx="887">
                  <c:v>-5.6737638291743018</c:v>
                </c:pt>
                <c:pt idx="888">
                  <c:v>-5.6789870331018548</c:v>
                </c:pt>
                <c:pt idx="889">
                  <c:v>-5.6842102520815407</c:v>
                </c:pt>
                <c:pt idx="890">
                  <c:v>-5.6894334861128453</c:v>
                </c:pt>
                <c:pt idx="891">
                  <c:v>-5.6946567351952542</c:v>
                </c:pt>
                <c:pt idx="892">
                  <c:v>-5.6998799993282532</c:v>
                </c:pt>
                <c:pt idx="893">
                  <c:v>-5.705103278511328</c:v>
                </c:pt>
                <c:pt idx="894">
                  <c:v>-5.7103265727439654</c:v>
                </c:pt>
                <c:pt idx="895">
                  <c:v>-5.715549882025651</c:v>
                </c:pt>
                <c:pt idx="896">
                  <c:v>-5.7207732063558705</c:v>
                </c:pt>
                <c:pt idx="897">
                  <c:v>-5.7259965457341098</c:v>
                </c:pt>
                <c:pt idx="898">
                  <c:v>-5.7312199001598554</c:v>
                </c:pt>
                <c:pt idx="899">
                  <c:v>-5.7364432696325922</c:v>
                </c:pt>
                <c:pt idx="900">
                  <c:v>-5.7416666541518069</c:v>
                </c:pt>
                <c:pt idx="901">
                  <c:v>-5.746890053716986</c:v>
                </c:pt>
                <c:pt idx="902">
                  <c:v>-5.7521134683276145</c:v>
                </c:pt>
                <c:pt idx="903">
                  <c:v>-5.7573368979831789</c:v>
                </c:pt>
                <c:pt idx="904">
                  <c:v>-5.762560342683166</c:v>
                </c:pt>
                <c:pt idx="905">
                  <c:v>-5.7677838024270605</c:v>
                </c:pt>
                <c:pt idx="906">
                  <c:v>-5.773007277214349</c:v>
                </c:pt>
                <c:pt idx="907">
                  <c:v>-5.7782307670445183</c:v>
                </c:pt>
                <c:pt idx="908">
                  <c:v>-5.7834542719170541</c:v>
                </c:pt>
                <c:pt idx="909">
                  <c:v>-5.788677791831442</c:v>
                </c:pt>
                <c:pt idx="910">
                  <c:v>-5.793901326787168</c:v>
                </c:pt>
                <c:pt idx="911">
                  <c:v>-5.7991248767837194</c:v>
                </c:pt>
                <c:pt idx="912">
                  <c:v>-5.8043484418205811</c:v>
                </c:pt>
                <c:pt idx="913">
                  <c:v>-5.8095720218972398</c:v>
                </c:pt>
                <c:pt idx="914">
                  <c:v>-5.814795617013182</c:v>
                </c:pt>
                <c:pt idx="915">
                  <c:v>-5.8200192271678937</c:v>
                </c:pt>
                <c:pt idx="916">
                  <c:v>-5.8252428523608604</c:v>
                </c:pt>
                <c:pt idx="917">
                  <c:v>-5.8304664925915697</c:v>
                </c:pt>
                <c:pt idx="918">
                  <c:v>-5.8356901478595065</c:v>
                </c:pt>
                <c:pt idx="919">
                  <c:v>-5.8409138181641582</c:v>
                </c:pt>
                <c:pt idx="920">
                  <c:v>-5.8461375035050107</c:v>
                </c:pt>
                <c:pt idx="921">
                  <c:v>-5.8513612038815497</c:v>
                </c:pt>
                <c:pt idx="922">
                  <c:v>-5.8565849192932617</c:v>
                </c:pt>
                <c:pt idx="923">
                  <c:v>-5.8618086497396336</c:v>
                </c:pt>
                <c:pt idx="924">
                  <c:v>-5.8670323952201509</c:v>
                </c:pt>
                <c:pt idx="925">
                  <c:v>-5.8722561557343012</c:v>
                </c:pt>
                <c:pt idx="926">
                  <c:v>-5.8774799312815693</c:v>
                </c:pt>
                <c:pt idx="927">
                  <c:v>-5.8827037218614429</c:v>
                </c:pt>
                <c:pt idx="928">
                  <c:v>-5.8879275274734075</c:v>
                </c:pt>
                <c:pt idx="929">
                  <c:v>-5.89315134811695</c:v>
                </c:pt>
                <c:pt idx="930">
                  <c:v>-5.8983751837915568</c:v>
                </c:pt>
                <c:pt idx="931">
                  <c:v>-5.9035990344967137</c:v>
                </c:pt>
                <c:pt idx="932">
                  <c:v>-5.9088229002319084</c:v>
                </c:pt>
                <c:pt idx="933">
                  <c:v>-5.9140467809966264</c:v>
                </c:pt>
                <c:pt idx="934">
                  <c:v>-5.9192706767903545</c:v>
                </c:pt>
                <c:pt idx="935">
                  <c:v>-5.9244945876125783</c:v>
                </c:pt>
                <c:pt idx="936">
                  <c:v>-5.9297185134627854</c:v>
                </c:pt>
                <c:pt idx="937">
                  <c:v>-5.9349424543404616</c:v>
                </c:pt>
                <c:pt idx="938">
                  <c:v>-5.9401664102450944</c:v>
                </c:pt>
                <c:pt idx="939">
                  <c:v>-5.9453903811761695</c:v>
                </c:pt>
                <c:pt idx="940">
                  <c:v>-5.9506143671331735</c:v>
                </c:pt>
                <c:pt idx="941">
                  <c:v>-5.9558383681155931</c:v>
                </c:pt>
                <c:pt idx="942">
                  <c:v>-5.9610623841229149</c:v>
                </c:pt>
                <c:pt idx="943">
                  <c:v>-5.9662864151546255</c:v>
                </c:pt>
                <c:pt idx="944">
                  <c:v>-5.9715104612102117</c:v>
                </c:pt>
                <c:pt idx="945">
                  <c:v>-5.9767345222891599</c:v>
                </c:pt>
                <c:pt idx="946">
                  <c:v>-5.9819585983909569</c:v>
                </c:pt>
                <c:pt idx="947">
                  <c:v>-5.9871826895150893</c:v>
                </c:pt>
                <c:pt idx="948">
                  <c:v>-5.9924067956610436</c:v>
                </c:pt>
                <c:pt idx="949">
                  <c:v>-5.9976309168283066</c:v>
                </c:pt>
                <c:pt idx="950">
                  <c:v>-6.0028550530163649</c:v>
                </c:pt>
                <c:pt idx="951">
                  <c:v>-6.0080792042247051</c:v>
                </c:pt>
                <c:pt idx="952">
                  <c:v>-6.0133033704528138</c:v>
                </c:pt>
                <c:pt idx="953">
                  <c:v>-6.0185275517001786</c:v>
                </c:pt>
                <c:pt idx="954">
                  <c:v>-6.0237517479662852</c:v>
                </c:pt>
                <c:pt idx="955">
                  <c:v>-6.0289759592506211</c:v>
                </c:pt>
                <c:pt idx="956">
                  <c:v>-6.034200185552673</c:v>
                </c:pt>
                <c:pt idx="957">
                  <c:v>-6.0394244268719275</c:v>
                </c:pt>
                <c:pt idx="958">
                  <c:v>-6.0446486832078712</c:v>
                </c:pt>
                <c:pt idx="959">
                  <c:v>-6.0498729545599916</c:v>
                </c:pt>
                <c:pt idx="960">
                  <c:v>-6.0550972409277746</c:v>
                </c:pt>
                <c:pt idx="961">
                  <c:v>-6.0603215423107075</c:v>
                </c:pt>
                <c:pt idx="962">
                  <c:v>-6.0655458587082771</c:v>
                </c:pt>
                <c:pt idx="963">
                  <c:v>-6.0707701901199709</c:v>
                </c:pt>
                <c:pt idx="964">
                  <c:v>-6.0759945365452754</c:v>
                </c:pt>
                <c:pt idx="965">
                  <c:v>-6.0812188979836774</c:v>
                </c:pt>
                <c:pt idx="966">
                  <c:v>-6.0864432744346635</c:v>
                </c:pt>
                <c:pt idx="967">
                  <c:v>-6.0916676658977211</c:v>
                </c:pt>
                <c:pt idx="968">
                  <c:v>-6.096892072372337</c:v>
                </c:pt>
                <c:pt idx="969">
                  <c:v>-6.1021164938579977</c:v>
                </c:pt>
                <c:pt idx="970">
                  <c:v>-6.1073409303541908</c:v>
                </c:pt>
                <c:pt idx="971">
                  <c:v>-6.1125653818604029</c:v>
                </c:pt>
                <c:pt idx="972">
                  <c:v>-6.1177898483761215</c:v>
                </c:pt>
                <c:pt idx="973">
                  <c:v>-6.1230143299008333</c:v>
                </c:pt>
                <c:pt idx="974">
                  <c:v>-6.1282388264340257</c:v>
                </c:pt>
                <c:pt idx="975">
                  <c:v>-6.1334633379751855</c:v>
                </c:pt>
                <c:pt idx="976">
                  <c:v>-6.1386878645237992</c:v>
                </c:pt>
                <c:pt idx="977">
                  <c:v>-6.1439124060793544</c:v>
                </c:pt>
                <c:pt idx="978">
                  <c:v>-6.1491369626413386</c:v>
                </c:pt>
                <c:pt idx="979">
                  <c:v>-6.1543615342092384</c:v>
                </c:pt>
                <c:pt idx="980">
                  <c:v>-6.1595861207825404</c:v>
                </c:pt>
                <c:pt idx="981">
                  <c:v>-6.1648107223607331</c:v>
                </c:pt>
                <c:pt idx="982">
                  <c:v>-6.1700353389433022</c:v>
                </c:pt>
                <c:pt idx="983">
                  <c:v>-6.1752599705297362</c:v>
                </c:pt>
                <c:pt idx="984">
                  <c:v>-6.1804846171195216</c:v>
                </c:pt>
                <c:pt idx="985">
                  <c:v>-6.185709278712145</c:v>
                </c:pt>
                <c:pt idx="986">
                  <c:v>-6.1909339553070941</c:v>
                </c:pt>
                <c:pt idx="987">
                  <c:v>-6.1961586469038563</c:v>
                </c:pt>
                <c:pt idx="988">
                  <c:v>-6.2013833535019192</c:v>
                </c:pt>
                <c:pt idx="989">
                  <c:v>-6.2066080751007693</c:v>
                </c:pt>
                <c:pt idx="990">
                  <c:v>-6.2118328116998942</c:v>
                </c:pt>
                <c:pt idx="991">
                  <c:v>-6.2170575632987815</c:v>
                </c:pt>
                <c:pt idx="992">
                  <c:v>-6.2222823298969177</c:v>
                </c:pt>
                <c:pt idx="993">
                  <c:v>-6.2275071114937903</c:v>
                </c:pt>
                <c:pt idx="994">
                  <c:v>-6.232731908088887</c:v>
                </c:pt>
                <c:pt idx="995">
                  <c:v>-6.2379567196816952</c:v>
                </c:pt>
                <c:pt idx="996">
                  <c:v>-6.2431815462717015</c:v>
                </c:pt>
                <c:pt idx="997">
                  <c:v>-6.2484063878583935</c:v>
                </c:pt>
                <c:pt idx="998">
                  <c:v>-6.2536312444412596</c:v>
                </c:pt>
                <c:pt idx="999">
                  <c:v>-6.2588561160197864</c:v>
                </c:pt>
                <c:pt idx="1000">
                  <c:v>-6.2640810025934606</c:v>
                </c:pt>
              </c:numCache>
            </c:numRef>
          </c:yVal>
          <c:smooth val="0"/>
          <c:extLst>
            <c:ext xmlns:c16="http://schemas.microsoft.com/office/drawing/2014/chart" uri="{C3380CC4-5D6E-409C-BE32-E72D297353CC}">
              <c16:uniqueId val="{00000001-B5CC-4BD6-9E0D-EA30945FB569}"/>
            </c:ext>
          </c:extLst>
        </c:ser>
        <c:dLbls>
          <c:showLegendKey val="0"/>
          <c:showVal val="0"/>
          <c:showCatName val="0"/>
          <c:showSerName val="0"/>
          <c:showPercent val="0"/>
          <c:showBubbleSize val="0"/>
        </c:dLbls>
        <c:axId val="149619072"/>
        <c:axId val="149620992"/>
      </c:scatterChart>
      <c:valAx>
        <c:axId val="149619072"/>
        <c:scaling>
          <c:orientation val="minMax"/>
        </c:scaling>
        <c:delete val="0"/>
        <c:axPos val="b"/>
        <c:majorGridlines>
          <c:spPr>
            <a:ln w="3175">
              <a:solidFill>
                <a:srgbClr val="000000"/>
              </a:solidFill>
              <a:prstDash val="sysDash"/>
            </a:ln>
          </c:spPr>
        </c:majorGridlines>
        <c:title>
          <c:tx>
            <c:strRef>
              <c:f>Courbes!$B$146</c:f>
              <c:strCache>
                <c:ptCount val="1"/>
                <c:pt idx="0">
                  <c:v>Temps [s]</c:v>
                </c:pt>
              </c:strCache>
            </c:strRef>
          </c:tx>
          <c:overlay val="0"/>
          <c:txPr>
            <a:bodyPr/>
            <a:lstStyle/>
            <a:p>
              <a:pPr>
                <a:defRPr sz="1000" b="0" i="0" u="none" strike="noStrike" baseline="0">
                  <a:solidFill>
                    <a:srgbClr val="000000"/>
                  </a:solidFill>
                  <a:latin typeface="Arial"/>
                  <a:ea typeface="Arial"/>
                  <a:cs typeface="Arial"/>
                </a:defRPr>
              </a:pPr>
              <a:endParaRPr lang="fr-FR"/>
            </a:p>
          </c:tx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620992"/>
        <c:crosses val="autoZero"/>
        <c:crossBetween val="midCat"/>
      </c:valAx>
      <c:valAx>
        <c:axId val="149620992"/>
        <c:scaling>
          <c:orientation val="minMax"/>
          <c:min val="0"/>
        </c:scaling>
        <c:delete val="0"/>
        <c:axPos val="l"/>
        <c:majorGridlines>
          <c:spPr>
            <a:ln w="3175">
              <a:solidFill>
                <a:srgbClr val="000000"/>
              </a:solidFill>
              <a:prstDash val="sysDash"/>
            </a:ln>
          </c:spPr>
        </c:majorGridlines>
        <c:title>
          <c:tx>
            <c:rich>
              <a:bodyPr/>
              <a:lstStyle/>
              <a:p>
                <a:pPr>
                  <a:defRPr sz="1175" b="1" i="0" u="none" strike="noStrike" baseline="0">
                    <a:solidFill>
                      <a:srgbClr val="000000"/>
                    </a:solidFill>
                    <a:latin typeface="Arial"/>
                    <a:ea typeface="Arial"/>
                    <a:cs typeface="Arial"/>
                  </a:defRPr>
                </a:pPr>
                <a:r>
                  <a:rPr lang="fr-FR"/>
                  <a:t>Positions [m]</a:t>
                </a:r>
              </a:p>
            </c:rich>
          </c:tx>
          <c:layout>
            <c:manualLayout>
              <c:xMode val="edge"/>
              <c:yMode val="edge"/>
              <c:x val="2.0047169811320761E-2"/>
              <c:y val="0.300654768153980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Arial"/>
                <a:ea typeface="Arial"/>
                <a:cs typeface="Arial"/>
              </a:defRPr>
            </a:pPr>
            <a:endParaRPr lang="fr-FR"/>
          </a:p>
        </c:txPr>
        <c:crossAx val="149619072"/>
        <c:crosses val="autoZero"/>
        <c:crossBetween val="midCat"/>
      </c:valAx>
      <c:spPr>
        <a:noFill/>
        <a:ln w="12700">
          <a:solidFill>
            <a:srgbClr val="808080"/>
          </a:solidFill>
          <a:prstDash val="solid"/>
        </a:ln>
      </c:spPr>
    </c:plotArea>
    <c:legend>
      <c:legendPos val="r"/>
      <c:layout>
        <c:manualLayout>
          <c:xMode val="edge"/>
          <c:yMode val="edge"/>
          <c:x val="0.8286169712276531"/>
          <c:y val="0.4888892388451444"/>
          <c:w val="0.13679257663546773"/>
          <c:h val="0.15777777777777779"/>
        </c:manualLayout>
      </c:layout>
      <c:overlay val="0"/>
      <c:spPr>
        <a:solidFill>
          <a:srgbClr val="FFFFFF"/>
        </a:solidFill>
        <a:ln w="3175">
          <a:solidFill>
            <a:srgbClr val="000000"/>
          </a:solidFill>
          <a:prstDash val="solid"/>
        </a:ln>
      </c:spPr>
      <c:txPr>
        <a:bodyPr/>
        <a:lstStyle/>
        <a:p>
          <a:pPr>
            <a:defRPr sz="970" b="0" i="0" u="none" strike="noStrike" baseline="0">
              <a:solidFill>
                <a:srgbClr val="000000"/>
              </a:solidFill>
              <a:latin typeface="Arial"/>
              <a:ea typeface="Arial"/>
              <a:cs typeface="Arial"/>
            </a:defRPr>
          </a:pPr>
          <a:endParaRPr lang="fr-FR"/>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Propu!$A$2</c:f>
          <c:strCache>
            <c:ptCount val="1"/>
            <c:pt idx="0">
              <c:v>p29-1G 57F59</c:v>
            </c:pt>
          </c:strCache>
        </c:strRef>
      </c:tx>
      <c:layout>
        <c:manualLayout>
          <c:xMode val="edge"/>
          <c:yMode val="edge"/>
          <c:x val="0.47127077646762688"/>
          <c:y val="3.9178592393174498E-2"/>
        </c:manualLayout>
      </c:layout>
      <c:overlay val="0"/>
      <c:txPr>
        <a:bodyPr/>
        <a:lstStyle/>
        <a:p>
          <a:pPr>
            <a:defRPr sz="1200" b="0" i="0" u="none" strike="noStrike" baseline="0">
              <a:solidFill>
                <a:srgbClr val="000000"/>
              </a:solidFill>
              <a:latin typeface="Arial"/>
              <a:ea typeface="Arial"/>
              <a:cs typeface="Arial"/>
            </a:defRPr>
          </a:pPr>
          <a:endParaRPr lang="fr-FR"/>
        </a:p>
      </c:txPr>
    </c:title>
    <c:autoTitleDeleted val="0"/>
    <c:plotArea>
      <c:layout>
        <c:manualLayout>
          <c:layoutTarget val="inner"/>
          <c:xMode val="edge"/>
          <c:yMode val="edge"/>
          <c:x val="7.2496559551677733E-2"/>
          <c:y val="5.5426586068345711E-2"/>
          <c:w val="0.88973722710617964"/>
          <c:h val="0.82390179871348956"/>
        </c:manualLayout>
      </c:layout>
      <c:scatterChart>
        <c:scatterStyle val="lineMarker"/>
        <c:varyColors val="0"/>
        <c:ser>
          <c:idx val="0"/>
          <c:order val="0"/>
          <c:tx>
            <c:strRef>
              <c:f>Propu!$A$4</c:f>
              <c:strCache>
                <c:ptCount val="1"/>
                <c:pt idx="0">
                  <c:v>Poussée (en N)</c:v>
                </c:pt>
              </c:strCache>
            </c:strRef>
          </c:tx>
          <c:spPr>
            <a:ln w="25400">
              <a:solidFill>
                <a:srgbClr val="004586"/>
              </a:solidFill>
              <a:prstDash val="solid"/>
            </a:ln>
          </c:spPr>
          <c:marker>
            <c:symbol val="square"/>
            <c:size val="4"/>
            <c:spPr>
              <a:solidFill>
                <a:srgbClr val="004586"/>
              </a:solidFill>
              <a:ln>
                <a:solidFill>
                  <a:srgbClr val="004586"/>
                </a:solidFill>
                <a:prstDash val="solid"/>
              </a:ln>
            </c:spPr>
          </c:marker>
          <c:xVal>
            <c:numRef>
              <c:f>Propu!$B$3:$X$3</c:f>
              <c:numCache>
                <c:formatCode>General</c:formatCode>
                <c:ptCount val="23"/>
                <c:pt idx="0">
                  <c:v>0</c:v>
                </c:pt>
                <c:pt idx="1">
                  <c:v>0.01</c:v>
                </c:pt>
                <c:pt idx="2">
                  <c:v>0.02</c:v>
                </c:pt>
                <c:pt idx="3">
                  <c:v>0.03</c:v>
                </c:pt>
                <c:pt idx="4">
                  <c:v>0.04</c:v>
                </c:pt>
                <c:pt idx="5">
                  <c:v>7.0000000000000007E-2</c:v>
                </c:pt>
                <c:pt idx="6">
                  <c:v>0.1</c:v>
                </c:pt>
                <c:pt idx="7">
                  <c:v>0.2</c:v>
                </c:pt>
                <c:pt idx="8">
                  <c:v>0.3</c:v>
                </c:pt>
                <c:pt idx="9">
                  <c:v>0.4</c:v>
                </c:pt>
                <c:pt idx="10">
                  <c:v>0.5</c:v>
                </c:pt>
                <c:pt idx="11">
                  <c:v>0.6</c:v>
                </c:pt>
                <c:pt idx="12">
                  <c:v>0.7</c:v>
                </c:pt>
                <c:pt idx="13">
                  <c:v>0.87</c:v>
                </c:pt>
                <c:pt idx="14">
                  <c:v>0.9</c:v>
                </c:pt>
                <c:pt idx="15">
                  <c:v>0.97</c:v>
                </c:pt>
                <c:pt idx="16">
                  <c:v>0.97</c:v>
                </c:pt>
                <c:pt idx="17">
                  <c:v>0.97</c:v>
                </c:pt>
                <c:pt idx="18">
                  <c:v>0.97</c:v>
                </c:pt>
                <c:pt idx="19">
                  <c:v>0.97</c:v>
                </c:pt>
                <c:pt idx="20">
                  <c:v>0.97</c:v>
                </c:pt>
                <c:pt idx="21">
                  <c:v>0.97</c:v>
                </c:pt>
                <c:pt idx="22">
                  <c:v>2</c:v>
                </c:pt>
              </c:numCache>
            </c:numRef>
          </c:xVal>
          <c:yVal>
            <c:numRef>
              <c:f>Propu!$B$4:$X$4</c:f>
              <c:numCache>
                <c:formatCode>General</c:formatCode>
                <c:ptCount val="23"/>
                <c:pt idx="0">
                  <c:v>0</c:v>
                </c:pt>
                <c:pt idx="1">
                  <c:v>16</c:v>
                </c:pt>
                <c:pt idx="2">
                  <c:v>62</c:v>
                </c:pt>
                <c:pt idx="3">
                  <c:v>67</c:v>
                </c:pt>
                <c:pt idx="4">
                  <c:v>71</c:v>
                </c:pt>
                <c:pt idx="5">
                  <c:v>58</c:v>
                </c:pt>
                <c:pt idx="6">
                  <c:v>63</c:v>
                </c:pt>
                <c:pt idx="7">
                  <c:v>67</c:v>
                </c:pt>
                <c:pt idx="8">
                  <c:v>69</c:v>
                </c:pt>
                <c:pt idx="9">
                  <c:v>67</c:v>
                </c:pt>
                <c:pt idx="10">
                  <c:v>65</c:v>
                </c:pt>
                <c:pt idx="11">
                  <c:v>63</c:v>
                </c:pt>
                <c:pt idx="12">
                  <c:v>61</c:v>
                </c:pt>
                <c:pt idx="13">
                  <c:v>60</c:v>
                </c:pt>
                <c:pt idx="14">
                  <c:v>23</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0-8EF7-4299-9A20-8D075AE9918F}"/>
            </c:ext>
          </c:extLst>
        </c:ser>
        <c:dLbls>
          <c:showLegendKey val="0"/>
          <c:showVal val="0"/>
          <c:showCatName val="0"/>
          <c:showSerName val="0"/>
          <c:showPercent val="0"/>
          <c:showBubbleSize val="0"/>
        </c:dLbls>
        <c:axId val="193428480"/>
        <c:axId val="193451520"/>
      </c:scatterChart>
      <c:valAx>
        <c:axId val="193428480"/>
        <c:scaling>
          <c:orientation val="minMax"/>
        </c:scaling>
        <c:delete val="0"/>
        <c:axPos val="b"/>
        <c:majorGridlines>
          <c:spPr>
            <a:ln w="3175">
              <a:solidFill>
                <a:srgbClr val="B3B3B3"/>
              </a:solidFill>
              <a:prstDash val="sysDash"/>
            </a:ln>
          </c:spPr>
        </c:majorGridlines>
        <c:title>
          <c:tx>
            <c:rich>
              <a:bodyPr/>
              <a:lstStyle/>
              <a:p>
                <a:pPr>
                  <a:defRPr sz="1000" b="0" i="0" u="none" strike="noStrike" baseline="0">
                    <a:solidFill>
                      <a:srgbClr val="000000"/>
                    </a:solidFill>
                    <a:latin typeface="Arial"/>
                    <a:ea typeface="Arial"/>
                    <a:cs typeface="Arial"/>
                  </a:defRPr>
                </a:pPr>
                <a:r>
                  <a:rPr lang="fr-FR"/>
                  <a:t>Temps / Time [s]</a:t>
                </a:r>
              </a:p>
            </c:rich>
          </c:tx>
          <c:layout>
            <c:manualLayout>
              <c:xMode val="edge"/>
              <c:yMode val="edge"/>
              <c:x val="0.78665554917523417"/>
              <c:y val="0.68868125417484782"/>
            </c:manualLayout>
          </c:layout>
          <c:overlay val="0"/>
          <c:spPr>
            <a:noFill/>
            <a:ln w="25400">
              <a:noFill/>
            </a:ln>
          </c:spPr>
        </c:title>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93451520"/>
        <c:crosses val="autoZero"/>
        <c:crossBetween val="midCat"/>
      </c:valAx>
      <c:valAx>
        <c:axId val="193451520"/>
        <c:scaling>
          <c:orientation val="minMax"/>
        </c:scaling>
        <c:delete val="0"/>
        <c:axPos val="l"/>
        <c:majorGridlines>
          <c:spPr>
            <a:ln w="3175">
              <a:solidFill>
                <a:srgbClr val="B3B3B3"/>
              </a:solidFill>
              <a:prstDash val="sysDash"/>
            </a:ln>
          </c:spPr>
        </c:majorGridlines>
        <c:title>
          <c:tx>
            <c:rich>
              <a:bodyPr/>
              <a:lstStyle/>
              <a:p>
                <a:pPr>
                  <a:defRPr sz="1000" b="0" i="0" u="none" strike="noStrike" baseline="0">
                    <a:solidFill>
                      <a:srgbClr val="000000"/>
                    </a:solidFill>
                    <a:latin typeface="Arial"/>
                    <a:ea typeface="Arial"/>
                    <a:cs typeface="Arial"/>
                  </a:defRPr>
                </a:pPr>
                <a:r>
                  <a:rPr lang="fr-FR"/>
                  <a:t>Poussée / Thrust [N]</a:t>
                </a:r>
              </a:p>
            </c:rich>
          </c:tx>
          <c:layout>
            <c:manualLayout>
              <c:xMode val="edge"/>
              <c:yMode val="edge"/>
              <c:x val="8.5144147191391295E-2"/>
              <c:y val="0.35327652166872459"/>
            </c:manualLayout>
          </c:layout>
          <c:overlay val="0"/>
          <c:spPr>
            <a:noFill/>
            <a:ln w="25400">
              <a:noFill/>
            </a:ln>
          </c:spPr>
        </c:title>
        <c:numFmt formatCode="General" sourceLinked="1"/>
        <c:majorTickMark val="out"/>
        <c:minorTickMark val="none"/>
        <c:tickLblPos val="nextTo"/>
        <c:spPr>
          <a:ln w="3175">
            <a:solidFill>
              <a:srgbClr val="B3B3B3"/>
            </a:solidFill>
            <a:prstDash val="solid"/>
          </a:ln>
        </c:spPr>
        <c:txPr>
          <a:bodyPr rot="0" vert="horz"/>
          <a:lstStyle/>
          <a:p>
            <a:pPr>
              <a:defRPr sz="1000" b="0" i="0" u="none" strike="noStrike" baseline="0">
                <a:solidFill>
                  <a:srgbClr val="000000"/>
                </a:solidFill>
                <a:latin typeface="Arial"/>
                <a:ea typeface="Arial"/>
                <a:cs typeface="Arial"/>
              </a:defRPr>
            </a:pPr>
            <a:endParaRPr lang="fr-FR"/>
          </a:p>
        </c:txPr>
        <c:crossAx val="193428480"/>
        <c:crosses val="autoZero"/>
        <c:crossBetween val="midCat"/>
      </c:valAx>
      <c:spPr>
        <a:noFill/>
        <a:ln w="3175">
          <a:solidFill>
            <a:srgbClr val="B3B3B3"/>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51180555555555562" footer="0.51180555555555562"/>
    <c:pageSetup firstPageNumber="0" orientation="landscape" horizontalDpi="1200" verticalDpi="1200"/>
  </c:printSettings>
</c:chartSpace>
</file>

<file path=xl/ctrlProps/ctrlProp1.xml><?xml version="1.0" encoding="utf-8"?>
<formControlPr xmlns="http://schemas.microsoft.com/office/spreadsheetml/2009/9/main" objectType="Spin" dx="15" fmlaLink="$C$23" inc="25" max="30000" noThreeD="1" page="10" val="199"/>
</file>

<file path=xl/ctrlProps/ctrlProp10.xml><?xml version="1.0" encoding="utf-8"?>
<formControlPr xmlns="http://schemas.microsoft.com/office/spreadsheetml/2009/9/main" objectType="Spin" dx="15" fmlaLink="$C$33" max="6" min="3" noThreeD="1" page="10" val="4"/>
</file>

<file path=xl/ctrlProps/ctrlProp11.xml><?xml version="1.0" encoding="utf-8"?>
<formControlPr xmlns="http://schemas.microsoft.com/office/spreadsheetml/2009/9/main" objectType="Spin" dx="15" fmlaLink="$C$14" inc="50" max="30000" noThreeD="1" page="10" val="1001"/>
</file>

<file path=xl/ctrlProps/ctrlProp12.xml><?xml version="1.0" encoding="utf-8"?>
<formControlPr xmlns="http://schemas.microsoft.com/office/spreadsheetml/2009/9/main" objectType="Spin" dx="15" fmlaLink="$C$12" inc="100" max="30000" noThreeD="1" page="10" val="359"/>
</file>

<file path=xl/ctrlProps/ctrlProp13.xml><?xml version="1.0" encoding="utf-8"?>
<formControlPr xmlns="http://schemas.microsoft.com/office/spreadsheetml/2009/9/main" objectType="Spin" dx="15" fmlaLink="$C$12" inc="100" max="30000" noThreeD="1" page="10" val="359"/>
</file>

<file path=xl/ctrlProps/ctrlProp14.xml><?xml version="1.0" encoding="utf-8"?>
<formControlPr xmlns="http://schemas.microsoft.com/office/spreadsheetml/2009/9/main" objectType="Spin" dx="15" fmlaLink="Stabilito!C12" inc="100" max="30000" noThreeD="1" page="10" val="359"/>
</file>

<file path=xl/ctrlProps/ctrlProp15.xml><?xml version="1.0" encoding="utf-8"?>
<formControlPr xmlns="http://schemas.microsoft.com/office/spreadsheetml/2009/9/main" objectType="Spin" dx="15" fmlaLink="$B$44" inc="50" max="30000" noThreeD="1" page="10" val="249"/>
</file>

<file path=xl/ctrlProps/ctrlProp16.xml><?xml version="1.0" encoding="utf-8"?>
<formControlPr xmlns="http://schemas.microsoft.com/office/spreadsheetml/2009/9/main" objectType="Spin" dx="15" fmlaLink="$B$46" inc="50" max="30000" noThreeD="1" page="10" val="199"/>
</file>

<file path=xl/ctrlProps/ctrlProp17.xml><?xml version="1.0" encoding="utf-8"?>
<formControlPr xmlns="http://schemas.microsoft.com/office/spreadsheetml/2009/9/main" objectType="Spin" dx="15" fmlaLink="$B$52" inc="50" max="30000" noThreeD="1" page="10" val="299"/>
</file>

<file path=xl/ctrlProps/ctrlProp18.xml><?xml version="1.0" encoding="utf-8"?>
<formControlPr xmlns="http://schemas.microsoft.com/office/spreadsheetml/2009/9/main" objectType="Spin" dx="15" fmlaLink="$B$54" inc="5" max="30000" noThreeD="1" page="10" val="29"/>
</file>

<file path=xl/ctrlProps/ctrlProp19.xml><?xml version="1.0" encoding="utf-8"?>
<formControlPr xmlns="http://schemas.microsoft.com/office/spreadsheetml/2009/9/main" objectType="Spin" dx="15" fmlaLink="Stabilito!C12" inc="100" max="30000" noThreeD="1" page="10" val="359"/>
</file>

<file path=xl/ctrlProps/ctrlProp2.xml><?xml version="1.0" encoding="utf-8"?>
<formControlPr xmlns="http://schemas.microsoft.com/office/spreadsheetml/2009/9/main" objectType="Spin" dx="15" fmlaLink="$C$12" inc="100" max="30000" noThreeD="1" page="10" val="359"/>
</file>

<file path=xl/ctrlProps/ctrlProp20.xml><?xml version="1.0" encoding="utf-8"?>
<formControlPr xmlns="http://schemas.microsoft.com/office/spreadsheetml/2009/9/main" objectType="Spin" dx="15" fmlaLink="Stabilito!C12" inc="100" max="30000" noThreeD="1" page="10" val="359"/>
</file>

<file path=xl/ctrlProps/ctrlProp3.xml><?xml version="1.0" encoding="utf-8"?>
<formControlPr xmlns="http://schemas.microsoft.com/office/spreadsheetml/2009/9/main" objectType="Spin" dx="15" fmlaLink="$C$13" inc="50" max="30000" noThreeD="1" page="10" val="639"/>
</file>

<file path=xl/ctrlProps/ctrlProp4.xml><?xml version="1.0" encoding="utf-8"?>
<formControlPr xmlns="http://schemas.microsoft.com/office/spreadsheetml/2009/9/main" objectType="Spin" dx="15" fmlaLink="$C$24" inc="20" max="30000" noThreeD="1" page="10" val="59"/>
</file>

<file path=xl/ctrlProps/ctrlProp5.xml><?xml version="1.0" encoding="utf-8"?>
<formControlPr xmlns="http://schemas.microsoft.com/office/spreadsheetml/2009/9/main" objectType="Spin" dx="15" fmlaLink="$C$28" inc="10" max="30000" noThreeD="1" page="10" val="109"/>
</file>

<file path=xl/ctrlProps/ctrlProp6.xml><?xml version="1.0" encoding="utf-8"?>
<formControlPr xmlns="http://schemas.microsoft.com/office/spreadsheetml/2009/9/main" objectType="Spin" dx="15" fmlaLink="$C$29" inc="10" max="30000" noThreeD="1" page="10" val="59"/>
</file>

<file path=xl/ctrlProps/ctrlProp7.xml><?xml version="1.0" encoding="utf-8"?>
<formControlPr xmlns="http://schemas.microsoft.com/office/spreadsheetml/2009/9/main" objectType="Spin" dx="15" fmlaLink="$C$30" inc="10" max="30000" noThreeD="1" page="10" val="109"/>
</file>

<file path=xl/ctrlProps/ctrlProp8.xml><?xml version="1.0" encoding="utf-8"?>
<formControlPr xmlns="http://schemas.microsoft.com/office/spreadsheetml/2009/9/main" objectType="Spin" dx="15" fmlaLink="$C$31" inc="10" max="30000" noThreeD="1" page="10" val="99"/>
</file>

<file path=xl/ctrlProps/ctrlProp9.xml><?xml version="1.0" encoding="utf-8"?>
<formControlPr xmlns="http://schemas.microsoft.com/office/spreadsheetml/2009/9/main" objectType="Spin" dx="15" fmlaLink="$C$32" max="30000" noThreeD="1" page="10" val="2"/>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3.png"/><Relationship Id="rId4"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5.png"/><Relationship Id="rId1" Type="http://schemas.openxmlformats.org/officeDocument/2006/relationships/image" Target="../media/image4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3" Type="http://schemas.openxmlformats.org/officeDocument/2006/relationships/image" Target="../media/image19.emf"/><Relationship Id="rId18" Type="http://schemas.openxmlformats.org/officeDocument/2006/relationships/image" Target="../media/image24.emf"/><Relationship Id="rId26" Type="http://schemas.openxmlformats.org/officeDocument/2006/relationships/image" Target="../media/image32.emf"/><Relationship Id="rId3" Type="http://schemas.openxmlformats.org/officeDocument/2006/relationships/image" Target="../media/image9.emf"/><Relationship Id="rId21" Type="http://schemas.openxmlformats.org/officeDocument/2006/relationships/image" Target="../media/image27.emf"/><Relationship Id="rId34" Type="http://schemas.openxmlformats.org/officeDocument/2006/relationships/image" Target="../media/image40.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5" Type="http://schemas.openxmlformats.org/officeDocument/2006/relationships/image" Target="../media/image31.emf"/><Relationship Id="rId33" Type="http://schemas.openxmlformats.org/officeDocument/2006/relationships/image" Target="../media/image39.emf"/><Relationship Id="rId2" Type="http://schemas.openxmlformats.org/officeDocument/2006/relationships/image" Target="../media/image8.emf"/><Relationship Id="rId16" Type="http://schemas.openxmlformats.org/officeDocument/2006/relationships/image" Target="../media/image22.emf"/><Relationship Id="rId20" Type="http://schemas.openxmlformats.org/officeDocument/2006/relationships/image" Target="../media/image26.emf"/><Relationship Id="rId29" Type="http://schemas.openxmlformats.org/officeDocument/2006/relationships/image" Target="../media/image35.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24" Type="http://schemas.openxmlformats.org/officeDocument/2006/relationships/image" Target="../media/image30.emf"/><Relationship Id="rId32" Type="http://schemas.openxmlformats.org/officeDocument/2006/relationships/image" Target="../media/image38.emf"/><Relationship Id="rId5" Type="http://schemas.openxmlformats.org/officeDocument/2006/relationships/image" Target="../media/image11.emf"/><Relationship Id="rId15" Type="http://schemas.openxmlformats.org/officeDocument/2006/relationships/image" Target="../media/image21.emf"/><Relationship Id="rId23" Type="http://schemas.openxmlformats.org/officeDocument/2006/relationships/image" Target="../media/image29.emf"/><Relationship Id="rId28" Type="http://schemas.openxmlformats.org/officeDocument/2006/relationships/image" Target="../media/image34.emf"/><Relationship Id="rId36" Type="http://schemas.openxmlformats.org/officeDocument/2006/relationships/image" Target="../media/image42.emf"/><Relationship Id="rId10" Type="http://schemas.openxmlformats.org/officeDocument/2006/relationships/image" Target="../media/image16.emf"/><Relationship Id="rId19" Type="http://schemas.openxmlformats.org/officeDocument/2006/relationships/image" Target="../media/image25.emf"/><Relationship Id="rId31" Type="http://schemas.openxmlformats.org/officeDocument/2006/relationships/image" Target="../media/image37.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 Id="rId22" Type="http://schemas.openxmlformats.org/officeDocument/2006/relationships/image" Target="../media/image28.emf"/><Relationship Id="rId27" Type="http://schemas.openxmlformats.org/officeDocument/2006/relationships/image" Target="../media/image33.emf"/><Relationship Id="rId30" Type="http://schemas.openxmlformats.org/officeDocument/2006/relationships/image" Target="../media/image36.emf"/><Relationship Id="rId35" Type="http://schemas.openxmlformats.org/officeDocument/2006/relationships/image" Target="../media/image41.emf"/><Relationship Id="rId8"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3.emf"/></Relationships>
</file>

<file path=xl/drawings/drawing1.xml><?xml version="1.0" encoding="utf-8"?>
<xdr:wsDr xmlns:xdr="http://schemas.openxmlformats.org/drawingml/2006/spreadsheetDrawing" xmlns:a="http://schemas.openxmlformats.org/drawingml/2006/main">
  <xdr:twoCellAnchor>
    <xdr:from>
      <xdr:col>12</xdr:col>
      <xdr:colOff>25400</xdr:colOff>
      <xdr:row>1</xdr:row>
      <xdr:rowOff>25400</xdr:rowOff>
    </xdr:from>
    <xdr:to>
      <xdr:col>12</xdr:col>
      <xdr:colOff>488950</xdr:colOff>
      <xdr:row>1</xdr:row>
      <xdr:rowOff>139700</xdr:rowOff>
    </xdr:to>
    <xdr:grpSp>
      <xdr:nvGrpSpPr>
        <xdr:cNvPr id="5096993" name="Groupe 1">
          <a:extLst>
            <a:ext uri="{FF2B5EF4-FFF2-40B4-BE49-F238E27FC236}">
              <a16:creationId xmlns:a16="http://schemas.microsoft.com/office/drawing/2014/main" id="{00000000-0008-0000-0000-000021C64D00}"/>
            </a:ext>
          </a:extLst>
        </xdr:cNvPr>
        <xdr:cNvGrpSpPr>
          <a:grpSpLocks/>
        </xdr:cNvGrpSpPr>
      </xdr:nvGrpSpPr>
      <xdr:grpSpPr bwMode="auto">
        <a:xfrm>
          <a:off x="7814129" y="183243"/>
          <a:ext cx="463550" cy="114300"/>
          <a:chOff x="7067550" y="190500"/>
          <a:chExt cx="438150" cy="114300"/>
        </a:xfrm>
      </xdr:grpSpPr>
      <xdr:pic>
        <xdr:nvPicPr>
          <xdr:cNvPr id="5096999" name="Image 1">
            <a:extLst>
              <a:ext uri="{FF2B5EF4-FFF2-40B4-BE49-F238E27FC236}">
                <a16:creationId xmlns:a16="http://schemas.microsoft.com/office/drawing/2014/main" id="{00000000-0008-0000-0000-000027C64D00}"/>
              </a:ext>
            </a:extLst>
          </xdr:cNvPr>
          <xdr:cNvPicPr>
            <a:picLocks noChangeAspect="1"/>
          </xdr:cNvPicPr>
        </xdr:nvPicPr>
        <xdr:blipFill>
          <a:blip xmlns:r="http://schemas.openxmlformats.org/officeDocument/2006/relationships" r:embed="rId1" cstate="print"/>
          <a:srcRect/>
          <a:stretch>
            <a:fillRect/>
          </a:stretch>
        </xdr:blipFill>
        <xdr:spPr bwMode="auto">
          <a:xfrm>
            <a:off x="7067550" y="190500"/>
            <a:ext cx="171450" cy="114300"/>
          </a:xfrm>
          <a:prstGeom prst="rect">
            <a:avLst/>
          </a:prstGeom>
          <a:noFill/>
          <a:ln w="9525">
            <a:noFill/>
            <a:miter lim="800000"/>
            <a:headEnd/>
            <a:tailEnd/>
          </a:ln>
        </xdr:spPr>
      </xdr:pic>
      <xdr:pic>
        <xdr:nvPicPr>
          <xdr:cNvPr id="5097000" name="Image 2">
            <a:extLst>
              <a:ext uri="{FF2B5EF4-FFF2-40B4-BE49-F238E27FC236}">
                <a16:creationId xmlns:a16="http://schemas.microsoft.com/office/drawing/2014/main" id="{00000000-0008-0000-0000-000028C64D00}"/>
              </a:ext>
            </a:extLst>
          </xdr:cNvPr>
          <xdr:cNvPicPr>
            <a:picLocks noChangeAspect="1"/>
          </xdr:cNvPicPr>
        </xdr:nvPicPr>
        <xdr:blipFill>
          <a:blip xmlns:r="http://schemas.openxmlformats.org/officeDocument/2006/relationships" r:embed="rId2" cstate="print"/>
          <a:srcRect/>
          <a:stretch>
            <a:fillRect/>
          </a:stretch>
        </xdr:blipFill>
        <xdr:spPr bwMode="auto">
          <a:xfrm>
            <a:off x="7277100" y="190500"/>
            <a:ext cx="228600" cy="114300"/>
          </a:xfrm>
          <a:prstGeom prst="rect">
            <a:avLst/>
          </a:prstGeom>
          <a:noFill/>
          <a:ln w="9525">
            <a:noFill/>
            <a:miter lim="800000"/>
            <a:headEnd/>
            <a:tailEnd/>
          </a:ln>
        </xdr:spPr>
      </xdr:pic>
    </xdr:grpSp>
    <xdr:clientData/>
  </xdr:twoCellAnchor>
  <xdr:twoCellAnchor>
    <xdr:from>
      <xdr:col>4</xdr:col>
      <xdr:colOff>279400</xdr:colOff>
      <xdr:row>1</xdr:row>
      <xdr:rowOff>0</xdr:rowOff>
    </xdr:from>
    <xdr:to>
      <xdr:col>10</xdr:col>
      <xdr:colOff>0</xdr:colOff>
      <xdr:row>24</xdr:row>
      <xdr:rowOff>0</xdr:rowOff>
    </xdr:to>
    <xdr:graphicFrame macro="">
      <xdr:nvGraphicFramePr>
        <xdr:cNvPr id="5096994" name="Graphique 9">
          <a:extLst>
            <a:ext uri="{FF2B5EF4-FFF2-40B4-BE49-F238E27FC236}">
              <a16:creationId xmlns:a16="http://schemas.microsoft.com/office/drawing/2014/main" id="{00000000-0008-0000-0000-000022C6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25</xdr:row>
      <xdr:rowOff>0</xdr:rowOff>
    </xdr:from>
    <xdr:to>
      <xdr:col>16</xdr:col>
      <xdr:colOff>0</xdr:colOff>
      <xdr:row>35</xdr:row>
      <xdr:rowOff>0</xdr:rowOff>
    </xdr:to>
    <xdr:graphicFrame macro="">
      <xdr:nvGraphicFramePr>
        <xdr:cNvPr id="5096995" name="Graphique 19">
          <a:extLst>
            <a:ext uri="{FF2B5EF4-FFF2-40B4-BE49-F238E27FC236}">
              <a16:creationId xmlns:a16="http://schemas.microsoft.com/office/drawing/2014/main" id="{00000000-0008-0000-0000-000023C6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1</xdr:row>
      <xdr:rowOff>0</xdr:rowOff>
    </xdr:from>
    <xdr:to>
      <xdr:col>1</xdr:col>
      <xdr:colOff>981075</xdr:colOff>
      <xdr:row>4</xdr:row>
      <xdr:rowOff>152400</xdr:rowOff>
    </xdr:to>
    <xdr:pic>
      <xdr:nvPicPr>
        <xdr:cNvPr id="5096996" name="Picture 8" descr="logoplasci">
          <a:extLst>
            <a:ext uri="{FF2B5EF4-FFF2-40B4-BE49-F238E27FC236}">
              <a16:creationId xmlns:a16="http://schemas.microsoft.com/office/drawing/2014/main" id="{00000000-0008-0000-0000-000024C64D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2400" y="158750"/>
          <a:ext cx="984250" cy="628650"/>
        </a:xfrm>
        <a:prstGeom prst="rect">
          <a:avLst/>
        </a:prstGeom>
        <a:noFill/>
        <a:ln w="9525">
          <a:noFill/>
          <a:miter lim="800000"/>
          <a:headEnd/>
          <a:tailEnd/>
        </a:ln>
      </xdr:spPr>
    </xdr:pic>
    <xdr:clientData/>
  </xdr:twoCellAnchor>
  <xdr:twoCellAnchor editAs="oneCell">
    <xdr:from>
      <xdr:col>1</xdr:col>
      <xdr:colOff>0</xdr:colOff>
      <xdr:row>38</xdr:row>
      <xdr:rowOff>0</xdr:rowOff>
    </xdr:from>
    <xdr:to>
      <xdr:col>2</xdr:col>
      <xdr:colOff>858520</xdr:colOff>
      <xdr:row>49</xdr:row>
      <xdr:rowOff>66675</xdr:rowOff>
    </xdr:to>
    <xdr:pic>
      <xdr:nvPicPr>
        <xdr:cNvPr id="5096997" name="Image 1">
          <a:extLst>
            <a:ext uri="{FF2B5EF4-FFF2-40B4-BE49-F238E27FC236}">
              <a16:creationId xmlns:a16="http://schemas.microsoft.com/office/drawing/2014/main" id="{00000000-0008-0000-0000-000025C64D00}"/>
            </a:ext>
          </a:extLst>
        </xdr:cNvPr>
        <xdr:cNvPicPr>
          <a:picLocks noChangeAspect="1"/>
        </xdr:cNvPicPr>
      </xdr:nvPicPr>
      <xdr:blipFill>
        <a:blip xmlns:r="http://schemas.openxmlformats.org/officeDocument/2006/relationships" r:embed="rId6" cstate="print"/>
        <a:srcRect/>
        <a:stretch>
          <a:fillRect/>
        </a:stretch>
      </xdr:blipFill>
      <xdr:spPr bwMode="auto">
        <a:xfrm>
          <a:off x="152400" y="5873750"/>
          <a:ext cx="1987550" cy="1885950"/>
        </a:xfrm>
        <a:prstGeom prst="rect">
          <a:avLst/>
        </a:prstGeom>
        <a:noFill/>
        <a:ln w="9525">
          <a:noFill/>
          <a:miter lim="800000"/>
          <a:headEnd/>
          <a:tailEnd/>
        </a:ln>
      </xdr:spPr>
    </xdr:pic>
    <xdr:clientData/>
  </xdr:twoCellAnchor>
  <xdr:twoCellAnchor editAs="oneCell">
    <xdr:from>
      <xdr:col>18</xdr:col>
      <xdr:colOff>0</xdr:colOff>
      <xdr:row>3</xdr:row>
      <xdr:rowOff>12700</xdr:rowOff>
    </xdr:from>
    <xdr:to>
      <xdr:col>20</xdr:col>
      <xdr:colOff>561975</xdr:colOff>
      <xdr:row>9</xdr:row>
      <xdr:rowOff>20320</xdr:rowOff>
    </xdr:to>
    <xdr:pic>
      <xdr:nvPicPr>
        <xdr:cNvPr id="5096998" name="Image 2">
          <a:extLst>
            <a:ext uri="{FF2B5EF4-FFF2-40B4-BE49-F238E27FC236}">
              <a16:creationId xmlns:a16="http://schemas.microsoft.com/office/drawing/2014/main" id="{00000000-0008-0000-0000-000026C64D00}"/>
            </a:ext>
          </a:extLst>
        </xdr:cNvPr>
        <xdr:cNvPicPr>
          <a:picLocks noChangeAspect="1"/>
        </xdr:cNvPicPr>
      </xdr:nvPicPr>
      <xdr:blipFill>
        <a:blip xmlns:r="http://schemas.openxmlformats.org/officeDocument/2006/relationships" r:embed="rId7" cstate="print"/>
        <a:srcRect/>
        <a:stretch>
          <a:fillRect/>
        </a:stretch>
      </xdr:blipFill>
      <xdr:spPr bwMode="auto">
        <a:xfrm>
          <a:off x="9810750" y="488950"/>
          <a:ext cx="2152650" cy="9525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3</xdr:col>
          <xdr:colOff>751114</xdr:colOff>
          <xdr:row>22</xdr:row>
          <xdr:rowOff>0</xdr:rowOff>
        </xdr:from>
        <xdr:to>
          <xdr:col>3</xdr:col>
          <xdr:colOff>898071</xdr:colOff>
          <xdr:row>23</xdr:row>
          <xdr:rowOff>0</xdr:rowOff>
        </xdr:to>
        <xdr:sp macro="" textlink="">
          <xdr:nvSpPr>
            <xdr:cNvPr id="36775" name="Spinner 935" hidden="1">
              <a:extLst>
                <a:ext uri="{63B3BB69-23CF-44E3-9099-C40C66FF867C}">
                  <a14:compatExt spid="_x0000_s36775"/>
                </a:ext>
                <a:ext uri="{FF2B5EF4-FFF2-40B4-BE49-F238E27FC236}">
                  <a16:creationId xmlns:a16="http://schemas.microsoft.com/office/drawing/2014/main" id="{00000000-0008-0000-0000-0000A7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751114</xdr:colOff>
          <xdr:row>11</xdr:row>
          <xdr:rowOff>0</xdr:rowOff>
        </xdr:from>
        <xdr:to>
          <xdr:col>2</xdr:col>
          <xdr:colOff>898071</xdr:colOff>
          <xdr:row>12</xdr:row>
          <xdr:rowOff>0</xdr:rowOff>
        </xdr:to>
        <xdr:sp macro="" textlink="">
          <xdr:nvSpPr>
            <xdr:cNvPr id="36781" name="Spinner 941" hidden="1">
              <a:extLst>
                <a:ext uri="{63B3BB69-23CF-44E3-9099-C40C66FF867C}">
                  <a14:compatExt spid="_x0000_s36781"/>
                </a:ext>
                <a:ext uri="{FF2B5EF4-FFF2-40B4-BE49-F238E27FC236}">
                  <a16:creationId xmlns:a16="http://schemas.microsoft.com/office/drawing/2014/main" id="{00000000-0008-0000-0000-0000AD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751114</xdr:colOff>
          <xdr:row>12</xdr:row>
          <xdr:rowOff>0</xdr:rowOff>
        </xdr:from>
        <xdr:to>
          <xdr:col>2</xdr:col>
          <xdr:colOff>898071</xdr:colOff>
          <xdr:row>13</xdr:row>
          <xdr:rowOff>0</xdr:rowOff>
        </xdr:to>
        <xdr:sp macro="" textlink="">
          <xdr:nvSpPr>
            <xdr:cNvPr id="36782" name="Spinner 942" hidden="1">
              <a:extLst>
                <a:ext uri="{63B3BB69-23CF-44E3-9099-C40C66FF867C}">
                  <a14:compatExt spid="_x0000_s36782"/>
                </a:ext>
                <a:ext uri="{FF2B5EF4-FFF2-40B4-BE49-F238E27FC236}">
                  <a16:creationId xmlns:a16="http://schemas.microsoft.com/office/drawing/2014/main" id="{00000000-0008-0000-0000-0000AE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751114</xdr:colOff>
          <xdr:row>22</xdr:row>
          <xdr:rowOff>157843</xdr:rowOff>
        </xdr:from>
        <xdr:to>
          <xdr:col>3</xdr:col>
          <xdr:colOff>898071</xdr:colOff>
          <xdr:row>24</xdr:row>
          <xdr:rowOff>0</xdr:rowOff>
        </xdr:to>
        <xdr:sp macro="" textlink="">
          <xdr:nvSpPr>
            <xdr:cNvPr id="36783" name="Spinner 943" hidden="1">
              <a:extLst>
                <a:ext uri="{63B3BB69-23CF-44E3-9099-C40C66FF867C}">
                  <a14:compatExt spid="_x0000_s36783"/>
                </a:ext>
                <a:ext uri="{FF2B5EF4-FFF2-40B4-BE49-F238E27FC236}">
                  <a16:creationId xmlns:a16="http://schemas.microsoft.com/office/drawing/2014/main" id="{00000000-0008-0000-0000-0000AF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756557</xdr:colOff>
          <xdr:row>27</xdr:row>
          <xdr:rowOff>0</xdr:rowOff>
        </xdr:from>
        <xdr:to>
          <xdr:col>3</xdr:col>
          <xdr:colOff>0</xdr:colOff>
          <xdr:row>28</xdr:row>
          <xdr:rowOff>5443</xdr:rowOff>
        </xdr:to>
        <xdr:sp macro="" textlink="">
          <xdr:nvSpPr>
            <xdr:cNvPr id="36789" name="Spinner 949" hidden="1">
              <a:extLst>
                <a:ext uri="{63B3BB69-23CF-44E3-9099-C40C66FF867C}">
                  <a14:compatExt spid="_x0000_s36789"/>
                </a:ext>
                <a:ext uri="{FF2B5EF4-FFF2-40B4-BE49-F238E27FC236}">
                  <a16:creationId xmlns:a16="http://schemas.microsoft.com/office/drawing/2014/main" id="{00000000-0008-0000-0000-0000B5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756557</xdr:colOff>
          <xdr:row>28</xdr:row>
          <xdr:rowOff>0</xdr:rowOff>
        </xdr:from>
        <xdr:to>
          <xdr:col>3</xdr:col>
          <xdr:colOff>0</xdr:colOff>
          <xdr:row>29</xdr:row>
          <xdr:rowOff>5443</xdr:rowOff>
        </xdr:to>
        <xdr:sp macro="" textlink="">
          <xdr:nvSpPr>
            <xdr:cNvPr id="36795" name="Spinner 955" hidden="1">
              <a:extLst>
                <a:ext uri="{63B3BB69-23CF-44E3-9099-C40C66FF867C}">
                  <a14:compatExt spid="_x0000_s36795"/>
                </a:ext>
                <a:ext uri="{FF2B5EF4-FFF2-40B4-BE49-F238E27FC236}">
                  <a16:creationId xmlns:a16="http://schemas.microsoft.com/office/drawing/2014/main" id="{00000000-0008-0000-0000-0000BB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756557</xdr:colOff>
          <xdr:row>28</xdr:row>
          <xdr:rowOff>163286</xdr:rowOff>
        </xdr:from>
        <xdr:to>
          <xdr:col>3</xdr:col>
          <xdr:colOff>0</xdr:colOff>
          <xdr:row>30</xdr:row>
          <xdr:rowOff>0</xdr:rowOff>
        </xdr:to>
        <xdr:sp macro="" textlink="">
          <xdr:nvSpPr>
            <xdr:cNvPr id="36796" name="Spinner 956" hidden="1">
              <a:extLst>
                <a:ext uri="{63B3BB69-23CF-44E3-9099-C40C66FF867C}">
                  <a14:compatExt spid="_x0000_s36796"/>
                </a:ext>
                <a:ext uri="{FF2B5EF4-FFF2-40B4-BE49-F238E27FC236}">
                  <a16:creationId xmlns:a16="http://schemas.microsoft.com/office/drawing/2014/main" id="{00000000-0008-0000-0000-0000BC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756557</xdr:colOff>
          <xdr:row>30</xdr:row>
          <xdr:rowOff>0</xdr:rowOff>
        </xdr:from>
        <xdr:to>
          <xdr:col>3</xdr:col>
          <xdr:colOff>0</xdr:colOff>
          <xdr:row>30</xdr:row>
          <xdr:rowOff>157843</xdr:rowOff>
        </xdr:to>
        <xdr:sp macro="" textlink="">
          <xdr:nvSpPr>
            <xdr:cNvPr id="36797" name="Spinner 957" hidden="1">
              <a:extLst>
                <a:ext uri="{63B3BB69-23CF-44E3-9099-C40C66FF867C}">
                  <a14:compatExt spid="_x0000_s36797"/>
                </a:ext>
                <a:ext uri="{FF2B5EF4-FFF2-40B4-BE49-F238E27FC236}">
                  <a16:creationId xmlns:a16="http://schemas.microsoft.com/office/drawing/2014/main" id="{00000000-0008-0000-0000-0000BD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756557</xdr:colOff>
          <xdr:row>31</xdr:row>
          <xdr:rowOff>0</xdr:rowOff>
        </xdr:from>
        <xdr:to>
          <xdr:col>2</xdr:col>
          <xdr:colOff>898071</xdr:colOff>
          <xdr:row>32</xdr:row>
          <xdr:rowOff>0</xdr:rowOff>
        </xdr:to>
        <xdr:sp macro="" textlink="">
          <xdr:nvSpPr>
            <xdr:cNvPr id="36798" name="Spinner 958" hidden="1">
              <a:extLst>
                <a:ext uri="{63B3BB69-23CF-44E3-9099-C40C66FF867C}">
                  <a14:compatExt spid="_x0000_s36798"/>
                </a:ext>
                <a:ext uri="{FF2B5EF4-FFF2-40B4-BE49-F238E27FC236}">
                  <a16:creationId xmlns:a16="http://schemas.microsoft.com/office/drawing/2014/main" id="{00000000-0008-0000-0000-0000BE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756557</xdr:colOff>
          <xdr:row>32</xdr:row>
          <xdr:rowOff>0</xdr:rowOff>
        </xdr:from>
        <xdr:to>
          <xdr:col>3</xdr:col>
          <xdr:colOff>0</xdr:colOff>
          <xdr:row>33</xdr:row>
          <xdr:rowOff>0</xdr:rowOff>
        </xdr:to>
        <xdr:sp macro="" textlink="">
          <xdr:nvSpPr>
            <xdr:cNvPr id="36799" name="Spinner 959" hidden="1">
              <a:extLst>
                <a:ext uri="{63B3BB69-23CF-44E3-9099-C40C66FF867C}">
                  <a14:compatExt spid="_x0000_s36799"/>
                </a:ext>
                <a:ext uri="{FF2B5EF4-FFF2-40B4-BE49-F238E27FC236}">
                  <a16:creationId xmlns:a16="http://schemas.microsoft.com/office/drawing/2014/main" id="{00000000-0008-0000-0000-0000BF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756557</xdr:colOff>
          <xdr:row>12</xdr:row>
          <xdr:rowOff>157843</xdr:rowOff>
        </xdr:from>
        <xdr:to>
          <xdr:col>4</xdr:col>
          <xdr:colOff>0</xdr:colOff>
          <xdr:row>13</xdr:row>
          <xdr:rowOff>157843</xdr:rowOff>
        </xdr:to>
        <xdr:sp macro="" textlink="">
          <xdr:nvSpPr>
            <xdr:cNvPr id="36801" name="Spinner 961" hidden="1">
              <a:extLst>
                <a:ext uri="{63B3BB69-23CF-44E3-9099-C40C66FF867C}">
                  <a14:compatExt spid="_x0000_s36801"/>
                </a:ext>
                <a:ext uri="{FF2B5EF4-FFF2-40B4-BE49-F238E27FC236}">
                  <a16:creationId xmlns:a16="http://schemas.microsoft.com/office/drawing/2014/main" id="{00000000-0008-0000-0000-0000C18F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10886</xdr:rowOff>
        </xdr:from>
        <xdr:to>
          <xdr:col>19</xdr:col>
          <xdr:colOff>0</xdr:colOff>
          <xdr:row>36</xdr:row>
          <xdr:rowOff>0</xdr:rowOff>
        </xdr:to>
        <xdr:sp macro="" textlink="">
          <xdr:nvSpPr>
            <xdr:cNvPr id="5096691" name="Spinner 3315" hidden="1">
              <a:extLst>
                <a:ext uri="{63B3BB69-23CF-44E3-9099-C40C66FF867C}">
                  <a14:compatExt spid="_x0000_s5096691"/>
                </a:ext>
                <a:ext uri="{FF2B5EF4-FFF2-40B4-BE49-F238E27FC236}">
                  <a16:creationId xmlns:a16="http://schemas.microsoft.com/office/drawing/2014/main" id="{00000000-0008-0000-0000-0000F3C44D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19</xdr:col>
          <xdr:colOff>0</xdr:colOff>
          <xdr:row>35</xdr:row>
          <xdr:rowOff>10886</xdr:rowOff>
        </xdr:from>
        <xdr:to>
          <xdr:col>19</xdr:col>
          <xdr:colOff>0</xdr:colOff>
          <xdr:row>36</xdr:row>
          <xdr:rowOff>0</xdr:rowOff>
        </xdr:to>
        <xdr:sp macro="" textlink="">
          <xdr:nvSpPr>
            <xdr:cNvPr id="5096692" name="Spinner 3316" hidden="1">
              <a:extLst>
                <a:ext uri="{63B3BB69-23CF-44E3-9099-C40C66FF867C}">
                  <a14:compatExt spid="_x0000_s5096692"/>
                </a:ext>
                <a:ext uri="{FF2B5EF4-FFF2-40B4-BE49-F238E27FC236}">
                  <a16:creationId xmlns:a16="http://schemas.microsoft.com/office/drawing/2014/main" id="{00000000-0008-0000-0000-0000F4C44D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609600</xdr:colOff>
      <xdr:row>21</xdr:row>
      <xdr:rowOff>38100</xdr:rowOff>
    </xdr:to>
    <xdr:graphicFrame macro="">
      <xdr:nvGraphicFramePr>
        <xdr:cNvPr id="4779983" name="Graphique 1">
          <a:extLst>
            <a:ext uri="{FF2B5EF4-FFF2-40B4-BE49-F238E27FC236}">
              <a16:creationId xmlns:a16="http://schemas.microsoft.com/office/drawing/2014/main" id="{00000000-0008-0000-0100-0000CFEF4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xdr:row>
      <xdr:rowOff>0</xdr:rowOff>
    </xdr:from>
    <xdr:to>
      <xdr:col>13</xdr:col>
      <xdr:colOff>0</xdr:colOff>
      <xdr:row>21</xdr:row>
      <xdr:rowOff>47625</xdr:rowOff>
    </xdr:to>
    <xdr:graphicFrame macro="">
      <xdr:nvGraphicFramePr>
        <xdr:cNvPr id="4779984" name="Graphique 2">
          <a:extLst>
            <a:ext uri="{FF2B5EF4-FFF2-40B4-BE49-F238E27FC236}">
              <a16:creationId xmlns:a16="http://schemas.microsoft.com/office/drawing/2014/main" id="{00000000-0008-0000-0100-0000D0EF4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1</xdr:col>
      <xdr:colOff>979170</xdr:colOff>
      <xdr:row>4</xdr:row>
      <xdr:rowOff>152400</xdr:rowOff>
    </xdr:to>
    <xdr:pic>
      <xdr:nvPicPr>
        <xdr:cNvPr id="4779985" name="Picture 8" descr="logoplasci">
          <a:extLst>
            <a:ext uri="{FF2B5EF4-FFF2-40B4-BE49-F238E27FC236}">
              <a16:creationId xmlns:a16="http://schemas.microsoft.com/office/drawing/2014/main" id="{00000000-0008-0000-0100-0000D1EF48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400" y="165100"/>
          <a:ext cx="984250" cy="628650"/>
        </a:xfrm>
        <a:prstGeom prst="rect">
          <a:avLst/>
        </a:prstGeom>
        <a:noFill/>
        <a:ln w="9525">
          <a:noFill/>
          <a:miter lim="800000"/>
          <a:headEnd/>
          <a:tailEnd/>
        </a:ln>
      </xdr:spPr>
    </xdr:pic>
    <xdr:clientData/>
  </xdr:twoCellAnchor>
  <xdr:twoCellAnchor>
    <xdr:from>
      <xdr:col>2</xdr:col>
      <xdr:colOff>397377</xdr:colOff>
      <xdr:row>49</xdr:row>
      <xdr:rowOff>132682</xdr:rowOff>
    </xdr:from>
    <xdr:to>
      <xdr:col>3</xdr:col>
      <xdr:colOff>583998</xdr:colOff>
      <xdr:row>56</xdr:row>
      <xdr:rowOff>50436</xdr:rowOff>
    </xdr:to>
    <xdr:grpSp>
      <xdr:nvGrpSpPr>
        <xdr:cNvPr id="4" name="Groupe 3">
          <a:extLst>
            <a:ext uri="{FF2B5EF4-FFF2-40B4-BE49-F238E27FC236}">
              <a16:creationId xmlns:a16="http://schemas.microsoft.com/office/drawing/2014/main" id="{00000000-0008-0000-0100-000004000000}"/>
            </a:ext>
          </a:extLst>
        </xdr:cNvPr>
        <xdr:cNvGrpSpPr/>
      </xdr:nvGrpSpPr>
      <xdr:grpSpPr>
        <a:xfrm>
          <a:off x="1692777" y="7877868"/>
          <a:ext cx="1095578" cy="1022654"/>
          <a:chOff x="1543718" y="8304129"/>
          <a:chExt cx="1082306" cy="1064096"/>
        </a:xfrm>
      </xdr:grpSpPr>
      <xdr:sp macro="" textlink="">
        <xdr:nvSpPr>
          <xdr:cNvPr id="4779987" name="Oval 323">
            <a:extLst>
              <a:ext uri="{FF2B5EF4-FFF2-40B4-BE49-F238E27FC236}">
                <a16:creationId xmlns:a16="http://schemas.microsoft.com/office/drawing/2014/main" id="{00000000-0008-0000-0100-0000D3EF4800}"/>
              </a:ext>
            </a:extLst>
          </xdr:cNvPr>
          <xdr:cNvSpPr>
            <a:spLocks noChangeArrowheads="1"/>
          </xdr:cNvSpPr>
        </xdr:nvSpPr>
        <xdr:spPr bwMode="auto">
          <a:xfrm>
            <a:off x="1543718" y="8304129"/>
            <a:ext cx="1082306" cy="1064096"/>
          </a:xfrm>
          <a:prstGeom prst="ellipse">
            <a:avLst/>
          </a:prstGeom>
          <a:solidFill>
            <a:srgbClr val="F2F2F2"/>
          </a:solidFill>
          <a:ln w="9525">
            <a:solidFill>
              <a:srgbClr val="000000"/>
            </a:solidFill>
            <a:round/>
            <a:headEnd/>
            <a:tailEnd/>
          </a:ln>
        </xdr:spPr>
      </xdr:sp>
      <xdr:sp macro="" textlink="">
        <xdr:nvSpPr>
          <xdr:cNvPr id="4779988" name="Oval 323">
            <a:extLst>
              <a:ext uri="{FF2B5EF4-FFF2-40B4-BE49-F238E27FC236}">
                <a16:creationId xmlns:a16="http://schemas.microsoft.com/office/drawing/2014/main" id="{00000000-0008-0000-0100-0000D4EF4800}"/>
              </a:ext>
            </a:extLst>
          </xdr:cNvPr>
          <xdr:cNvSpPr>
            <a:spLocks noChangeArrowheads="1"/>
          </xdr:cNvSpPr>
        </xdr:nvSpPr>
        <xdr:spPr bwMode="auto">
          <a:xfrm>
            <a:off x="1939718" y="8694827"/>
            <a:ext cx="290306" cy="282700"/>
          </a:xfrm>
          <a:prstGeom prst="ellipse">
            <a:avLst/>
          </a:prstGeom>
          <a:solidFill>
            <a:srgbClr val="FFFFFF"/>
          </a:solidFill>
          <a:ln w="9525">
            <a:solidFill>
              <a:srgbClr val="000000"/>
            </a:solidFill>
            <a:round/>
            <a:headEnd/>
            <a:tailEnd/>
          </a:ln>
        </xdr:spPr>
      </xdr:sp>
      <xdr:sp macro="" textlink="">
        <xdr:nvSpPr>
          <xdr:cNvPr id="4779989" name="Line 324">
            <a:extLst>
              <a:ext uri="{FF2B5EF4-FFF2-40B4-BE49-F238E27FC236}">
                <a16:creationId xmlns:a16="http://schemas.microsoft.com/office/drawing/2014/main" id="{00000000-0008-0000-0100-0000D5EF4800}"/>
              </a:ext>
            </a:extLst>
          </xdr:cNvPr>
          <xdr:cNvSpPr>
            <a:spLocks noChangeShapeType="1"/>
          </xdr:cNvSpPr>
        </xdr:nvSpPr>
        <xdr:spPr bwMode="auto">
          <a:xfrm>
            <a:off x="2083718" y="8304129"/>
            <a:ext cx="0" cy="540000"/>
          </a:xfrm>
          <a:prstGeom prst="line">
            <a:avLst/>
          </a:prstGeom>
          <a:noFill/>
          <a:ln w="9525">
            <a:solidFill>
              <a:srgbClr val="000000"/>
            </a:solidFill>
            <a:round/>
            <a:headEnd type="triangle" w="med" len="med"/>
            <a:tailEnd type="triangle" w="med" len="med"/>
          </a:ln>
        </xdr:spPr>
      </xdr:sp>
      <xdr:sp macro="" textlink="">
        <xdr:nvSpPr>
          <xdr:cNvPr id="4779990" name="Line 324">
            <a:extLst>
              <a:ext uri="{FF2B5EF4-FFF2-40B4-BE49-F238E27FC236}">
                <a16:creationId xmlns:a16="http://schemas.microsoft.com/office/drawing/2014/main" id="{00000000-0008-0000-0100-0000D6EF4800}"/>
              </a:ext>
            </a:extLst>
          </xdr:cNvPr>
          <xdr:cNvSpPr>
            <a:spLocks noChangeShapeType="1"/>
          </xdr:cNvSpPr>
        </xdr:nvSpPr>
        <xdr:spPr bwMode="auto">
          <a:xfrm>
            <a:off x="2083718" y="8838866"/>
            <a:ext cx="0" cy="144000"/>
          </a:xfrm>
          <a:prstGeom prst="line">
            <a:avLst/>
          </a:prstGeom>
          <a:noFill/>
          <a:ln w="9525">
            <a:solidFill>
              <a:srgbClr val="000000"/>
            </a:solidFill>
            <a:round/>
            <a:headEnd type="triangle" w="sm" len="sm"/>
            <a:tailEnd type="triangle" w="sm" len="sm"/>
          </a:ln>
        </xdr:spPr>
      </xdr:sp>
    </xdr:grpSp>
    <xdr:clientData/>
  </xdr:twoCellAnchor>
  <mc:AlternateContent xmlns:mc="http://schemas.openxmlformats.org/markup-compatibility/2006">
    <mc:Choice xmlns:a14="http://schemas.microsoft.com/office/drawing/2010/main" Requires="a14">
      <xdr:twoCellAnchor>
        <xdr:from>
          <xdr:col>3</xdr:col>
          <xdr:colOff>647700</xdr:colOff>
          <xdr:row>9</xdr:row>
          <xdr:rowOff>157843</xdr:rowOff>
        </xdr:from>
        <xdr:to>
          <xdr:col>4</xdr:col>
          <xdr:colOff>0</xdr:colOff>
          <xdr:row>11</xdr:row>
          <xdr:rowOff>5443</xdr:rowOff>
        </xdr:to>
        <xdr:sp macro="" textlink="">
          <xdr:nvSpPr>
            <xdr:cNvPr id="1424424" name="Spinner 1064" hidden="1">
              <a:extLst>
                <a:ext uri="{63B3BB69-23CF-44E3-9099-C40C66FF867C}">
                  <a14:compatExt spid="_x0000_s1424424"/>
                </a:ext>
                <a:ext uri="{FF2B5EF4-FFF2-40B4-BE49-F238E27FC236}">
                  <a16:creationId xmlns:a16="http://schemas.microsoft.com/office/drawing/2014/main" id="{00000000-0008-0000-0100-000028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43</xdr:row>
          <xdr:rowOff>10886</xdr:rowOff>
        </xdr:from>
        <xdr:to>
          <xdr:col>2</xdr:col>
          <xdr:colOff>0</xdr:colOff>
          <xdr:row>44</xdr:row>
          <xdr:rowOff>0</xdr:rowOff>
        </xdr:to>
        <xdr:sp macro="" textlink="">
          <xdr:nvSpPr>
            <xdr:cNvPr id="1424589" name="Spinner 1229" hidden="1">
              <a:extLst>
                <a:ext uri="{63B3BB69-23CF-44E3-9099-C40C66FF867C}">
                  <a14:compatExt spid="_x0000_s1424589"/>
                </a:ext>
                <a:ext uri="{FF2B5EF4-FFF2-40B4-BE49-F238E27FC236}">
                  <a16:creationId xmlns:a16="http://schemas.microsoft.com/office/drawing/2014/main" id="{00000000-0008-0000-0100-0000CD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45</xdr:row>
          <xdr:rowOff>10886</xdr:rowOff>
        </xdr:from>
        <xdr:to>
          <xdr:col>2</xdr:col>
          <xdr:colOff>0</xdr:colOff>
          <xdr:row>46</xdr:row>
          <xdr:rowOff>0</xdr:rowOff>
        </xdr:to>
        <xdr:sp macro="" textlink="">
          <xdr:nvSpPr>
            <xdr:cNvPr id="1424590" name="Spinner 1230" hidden="1">
              <a:extLst>
                <a:ext uri="{63B3BB69-23CF-44E3-9099-C40C66FF867C}">
                  <a14:compatExt spid="_x0000_s1424590"/>
                </a:ext>
                <a:ext uri="{FF2B5EF4-FFF2-40B4-BE49-F238E27FC236}">
                  <a16:creationId xmlns:a16="http://schemas.microsoft.com/office/drawing/2014/main" id="{00000000-0008-0000-0100-0000CE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51</xdr:row>
          <xdr:rowOff>10886</xdr:rowOff>
        </xdr:from>
        <xdr:to>
          <xdr:col>2</xdr:col>
          <xdr:colOff>0</xdr:colOff>
          <xdr:row>52</xdr:row>
          <xdr:rowOff>0</xdr:rowOff>
        </xdr:to>
        <xdr:sp macro="" textlink="">
          <xdr:nvSpPr>
            <xdr:cNvPr id="1424591" name="Spinner 1231" hidden="1">
              <a:extLst>
                <a:ext uri="{63B3BB69-23CF-44E3-9099-C40C66FF867C}">
                  <a14:compatExt spid="_x0000_s1424591"/>
                </a:ext>
                <a:ext uri="{FF2B5EF4-FFF2-40B4-BE49-F238E27FC236}">
                  <a16:creationId xmlns:a16="http://schemas.microsoft.com/office/drawing/2014/main" id="{00000000-0008-0000-0100-0000CFBC15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27214</xdr:colOff>
          <xdr:row>94</xdr:row>
          <xdr:rowOff>76200</xdr:rowOff>
        </xdr:from>
        <xdr:to>
          <xdr:col>3</xdr:col>
          <xdr:colOff>762000</xdr:colOff>
          <xdr:row>100</xdr:row>
          <xdr:rowOff>97971</xdr:rowOff>
        </xdr:to>
        <xdr:sp macro="" textlink="">
          <xdr:nvSpPr>
            <xdr:cNvPr id="1425294" name="Object 1934" hidden="1">
              <a:extLst>
                <a:ext uri="{63B3BB69-23CF-44E3-9099-C40C66FF867C}">
                  <a14:compatExt spid="_x0000_s1425294"/>
                </a:ext>
                <a:ext uri="{FF2B5EF4-FFF2-40B4-BE49-F238E27FC236}">
                  <a16:creationId xmlns:a16="http://schemas.microsoft.com/office/drawing/2014/main" id="{00000000-0008-0000-0100-00008EBF1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53</xdr:row>
          <xdr:rowOff>10886</xdr:rowOff>
        </xdr:from>
        <xdr:to>
          <xdr:col>2</xdr:col>
          <xdr:colOff>0</xdr:colOff>
          <xdr:row>54</xdr:row>
          <xdr:rowOff>0</xdr:rowOff>
        </xdr:to>
        <xdr:sp macro="" textlink="">
          <xdr:nvSpPr>
            <xdr:cNvPr id="4779462" name="Spinner 4550" hidden="1">
              <a:extLst>
                <a:ext uri="{63B3BB69-23CF-44E3-9099-C40C66FF867C}">
                  <a14:compatExt spid="_x0000_s4779462"/>
                </a:ext>
                <a:ext uri="{FF2B5EF4-FFF2-40B4-BE49-F238E27FC236}">
                  <a16:creationId xmlns:a16="http://schemas.microsoft.com/office/drawing/2014/main" id="{00000000-0008-0000-0100-0000C6ED48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2</xdr:col>
      <xdr:colOff>111065</xdr:colOff>
      <xdr:row>40</xdr:row>
      <xdr:rowOff>120650</xdr:rowOff>
    </xdr:from>
    <xdr:to>
      <xdr:col>3</xdr:col>
      <xdr:colOff>723899</xdr:colOff>
      <xdr:row>47</xdr:row>
      <xdr:rowOff>163763</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1406465" y="6445250"/>
          <a:ext cx="1521791" cy="1142570"/>
          <a:chOff x="1206570" y="6604334"/>
          <a:chExt cx="1696381" cy="1189455"/>
        </a:xfrm>
      </xdr:grpSpPr>
      <xdr:grpSp>
        <xdr:nvGrpSpPr>
          <xdr:cNvPr id="4779986" name="Groupe 1">
            <a:extLst>
              <a:ext uri="{FF2B5EF4-FFF2-40B4-BE49-F238E27FC236}">
                <a16:creationId xmlns:a16="http://schemas.microsoft.com/office/drawing/2014/main" id="{00000000-0008-0000-0100-0000D2EF4800}"/>
              </a:ext>
            </a:extLst>
          </xdr:cNvPr>
          <xdr:cNvGrpSpPr>
            <a:grpSpLocks/>
          </xdr:cNvGrpSpPr>
        </xdr:nvGrpSpPr>
        <xdr:grpSpPr bwMode="auto">
          <a:xfrm>
            <a:off x="1423067" y="6604334"/>
            <a:ext cx="1479884" cy="1189455"/>
            <a:chOff x="1362074" y="6410325"/>
            <a:chExt cx="1319467" cy="1181100"/>
          </a:xfrm>
        </xdr:grpSpPr>
        <xdr:sp macro="" textlink="">
          <xdr:nvSpPr>
            <xdr:cNvPr id="4779991" name="Line 320">
              <a:extLst>
                <a:ext uri="{FF2B5EF4-FFF2-40B4-BE49-F238E27FC236}">
                  <a16:creationId xmlns:a16="http://schemas.microsoft.com/office/drawing/2014/main" id="{00000000-0008-0000-0100-0000D7EF4800}"/>
                </a:ext>
              </a:extLst>
            </xdr:cNvPr>
            <xdr:cNvSpPr>
              <a:spLocks noChangeShapeType="1"/>
            </xdr:cNvSpPr>
          </xdr:nvSpPr>
          <xdr:spPr bwMode="auto">
            <a:xfrm flipH="1">
              <a:off x="1481627" y="7305580"/>
              <a:ext cx="342769" cy="0"/>
            </a:xfrm>
            <a:prstGeom prst="line">
              <a:avLst/>
            </a:prstGeom>
            <a:noFill/>
            <a:ln w="9525">
              <a:solidFill>
                <a:srgbClr val="000000"/>
              </a:solidFill>
              <a:round/>
              <a:headEnd type="triangle" w="med" len="med"/>
              <a:tailEnd type="triangle" w="med" len="med"/>
            </a:ln>
          </xdr:spPr>
        </xdr:sp>
        <xdr:sp macro="" textlink="">
          <xdr:nvSpPr>
            <xdr:cNvPr id="4779992" name="Rectangle 314">
              <a:extLst>
                <a:ext uri="{FF2B5EF4-FFF2-40B4-BE49-F238E27FC236}">
                  <a16:creationId xmlns:a16="http://schemas.microsoft.com/office/drawing/2014/main" id="{00000000-0008-0000-0100-0000D8EF4800}"/>
                </a:ext>
              </a:extLst>
            </xdr:cNvPr>
            <xdr:cNvSpPr>
              <a:spLocks noChangeArrowheads="1"/>
            </xdr:cNvSpPr>
          </xdr:nvSpPr>
          <xdr:spPr bwMode="auto">
            <a:xfrm>
              <a:off x="1838688" y="6410325"/>
              <a:ext cx="481630" cy="1181100"/>
            </a:xfrm>
            <a:prstGeom prst="rect">
              <a:avLst/>
            </a:prstGeom>
            <a:solidFill>
              <a:srgbClr val="F2F2F2"/>
            </a:solidFill>
            <a:ln w="9525">
              <a:solidFill>
                <a:srgbClr val="000000"/>
              </a:solidFill>
              <a:miter lim="800000"/>
              <a:headEnd/>
              <a:tailEnd/>
            </a:ln>
          </xdr:spPr>
        </xdr:sp>
        <xdr:sp macro="" textlink="">
          <xdr:nvSpPr>
            <xdr:cNvPr id="4779993" name="Rectangle 315">
              <a:extLst>
                <a:ext uri="{FF2B5EF4-FFF2-40B4-BE49-F238E27FC236}">
                  <a16:creationId xmlns:a16="http://schemas.microsoft.com/office/drawing/2014/main" id="{00000000-0008-0000-0100-0000D9EF4800}"/>
                </a:ext>
              </a:extLst>
            </xdr:cNvPr>
            <xdr:cNvSpPr>
              <a:spLocks noChangeArrowheads="1"/>
            </xdr:cNvSpPr>
          </xdr:nvSpPr>
          <xdr:spPr bwMode="auto">
            <a:xfrm rot="16200000">
              <a:off x="1842199" y="6398837"/>
              <a:ext cx="474608" cy="1204076"/>
            </a:xfrm>
            <a:prstGeom prst="rect">
              <a:avLst/>
            </a:prstGeom>
            <a:solidFill>
              <a:srgbClr val="F2F2F2"/>
            </a:solidFill>
            <a:ln w="9525">
              <a:solidFill>
                <a:srgbClr val="000000"/>
              </a:solidFill>
              <a:miter lim="800000"/>
              <a:headEnd/>
              <a:tailEnd/>
            </a:ln>
          </xdr:spPr>
        </xdr:sp>
        <xdr:sp macro="" textlink="">
          <xdr:nvSpPr>
            <xdr:cNvPr id="4779994" name="Line 316">
              <a:extLst>
                <a:ext uri="{FF2B5EF4-FFF2-40B4-BE49-F238E27FC236}">
                  <a16:creationId xmlns:a16="http://schemas.microsoft.com/office/drawing/2014/main" id="{00000000-0008-0000-0100-0000DAEF4800}"/>
                </a:ext>
              </a:extLst>
            </xdr:cNvPr>
            <xdr:cNvSpPr>
              <a:spLocks noChangeShapeType="1"/>
            </xdr:cNvSpPr>
          </xdr:nvSpPr>
          <xdr:spPr bwMode="auto">
            <a:xfrm>
              <a:off x="1839552" y="6759733"/>
              <a:ext cx="0" cy="482283"/>
            </a:xfrm>
            <a:prstGeom prst="line">
              <a:avLst/>
            </a:prstGeom>
            <a:noFill/>
            <a:ln w="9525">
              <a:solidFill>
                <a:srgbClr val="000000"/>
              </a:solidFill>
              <a:round/>
              <a:headEnd/>
              <a:tailEnd/>
            </a:ln>
          </xdr:spPr>
        </xdr:sp>
        <xdr:sp macro="" textlink="">
          <xdr:nvSpPr>
            <xdr:cNvPr id="4779995" name="Line 317">
              <a:extLst>
                <a:ext uri="{FF2B5EF4-FFF2-40B4-BE49-F238E27FC236}">
                  <a16:creationId xmlns:a16="http://schemas.microsoft.com/office/drawing/2014/main" id="{00000000-0008-0000-0100-0000DBEF4800}"/>
                </a:ext>
              </a:extLst>
            </xdr:cNvPr>
            <xdr:cNvSpPr>
              <a:spLocks noChangeShapeType="1"/>
            </xdr:cNvSpPr>
          </xdr:nvSpPr>
          <xdr:spPr bwMode="auto">
            <a:xfrm>
              <a:off x="2320389" y="6759733"/>
              <a:ext cx="0" cy="482283"/>
            </a:xfrm>
            <a:prstGeom prst="line">
              <a:avLst/>
            </a:prstGeom>
            <a:noFill/>
            <a:ln w="9525">
              <a:solidFill>
                <a:srgbClr val="000000"/>
              </a:solidFill>
              <a:round/>
              <a:headEnd/>
              <a:tailEnd/>
            </a:ln>
          </xdr:spPr>
          <xdr:txBody>
            <a:bodyPr/>
            <a:lstStyle/>
            <a:p>
              <a:endParaRPr lang="fr-FR"/>
            </a:p>
          </xdr:txBody>
        </xdr:sp>
        <xdr:sp macro="" textlink="">
          <xdr:nvSpPr>
            <xdr:cNvPr id="4779996" name="Line 319">
              <a:extLst>
                <a:ext uri="{FF2B5EF4-FFF2-40B4-BE49-F238E27FC236}">
                  <a16:creationId xmlns:a16="http://schemas.microsoft.com/office/drawing/2014/main" id="{00000000-0008-0000-0100-0000DCEF4800}"/>
                </a:ext>
              </a:extLst>
            </xdr:cNvPr>
            <xdr:cNvSpPr>
              <a:spLocks noChangeShapeType="1"/>
            </xdr:cNvSpPr>
          </xdr:nvSpPr>
          <xdr:spPr bwMode="auto">
            <a:xfrm>
              <a:off x="1362074" y="6762863"/>
              <a:ext cx="0" cy="476023"/>
            </a:xfrm>
            <a:prstGeom prst="line">
              <a:avLst/>
            </a:prstGeom>
            <a:noFill/>
            <a:ln w="9525">
              <a:solidFill>
                <a:srgbClr val="000000"/>
              </a:solidFill>
              <a:round/>
              <a:headEnd type="triangle" w="med" len="med"/>
              <a:tailEnd type="triangle" w="med" len="med"/>
            </a:ln>
          </xdr:spPr>
        </xdr:sp>
      </xdr:grpSp>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1206570" y="7066782"/>
            <a:ext cx="25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t>a</a:t>
            </a:r>
          </a:p>
        </xdr:txBody>
      </xdr:sp>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607218" y="7462419"/>
            <a:ext cx="2603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b="1"/>
              <a:t>b</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165100</xdr:colOff>
      <xdr:row>1</xdr:row>
      <xdr:rowOff>0</xdr:rowOff>
    </xdr:from>
    <xdr:to>
      <xdr:col>10</xdr:col>
      <xdr:colOff>622300</xdr:colOff>
      <xdr:row>19</xdr:row>
      <xdr:rowOff>0</xdr:rowOff>
    </xdr:to>
    <xdr:graphicFrame macro="">
      <xdr:nvGraphicFramePr>
        <xdr:cNvPr id="5105813" name="Graphique 1">
          <a:extLst>
            <a:ext uri="{FF2B5EF4-FFF2-40B4-BE49-F238E27FC236}">
              <a16:creationId xmlns:a16="http://schemas.microsoft.com/office/drawing/2014/main" id="{00000000-0008-0000-0200-000095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165100</xdr:colOff>
      <xdr:row>37</xdr:row>
      <xdr:rowOff>0</xdr:rowOff>
    </xdr:from>
    <xdr:to>
      <xdr:col>10</xdr:col>
      <xdr:colOff>622300</xdr:colOff>
      <xdr:row>55</xdr:row>
      <xdr:rowOff>0</xdr:rowOff>
    </xdr:to>
    <xdr:graphicFrame macro="">
      <xdr:nvGraphicFramePr>
        <xdr:cNvPr id="5105814" name="Graphique 2">
          <a:extLst>
            <a:ext uri="{FF2B5EF4-FFF2-40B4-BE49-F238E27FC236}">
              <a16:creationId xmlns:a16="http://schemas.microsoft.com/office/drawing/2014/main" id="{00000000-0008-0000-0200-000096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165100</xdr:colOff>
      <xdr:row>19</xdr:row>
      <xdr:rowOff>0</xdr:rowOff>
    </xdr:from>
    <xdr:to>
      <xdr:col>10</xdr:col>
      <xdr:colOff>622300</xdr:colOff>
      <xdr:row>37</xdr:row>
      <xdr:rowOff>0</xdr:rowOff>
    </xdr:to>
    <xdr:graphicFrame macro="">
      <xdr:nvGraphicFramePr>
        <xdr:cNvPr id="5105815" name="Graphique 3">
          <a:extLst>
            <a:ext uri="{FF2B5EF4-FFF2-40B4-BE49-F238E27FC236}">
              <a16:creationId xmlns:a16="http://schemas.microsoft.com/office/drawing/2014/main" id="{00000000-0008-0000-0200-000097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165100</xdr:colOff>
      <xdr:row>55</xdr:row>
      <xdr:rowOff>0</xdr:rowOff>
    </xdr:from>
    <xdr:to>
      <xdr:col>10</xdr:col>
      <xdr:colOff>622300</xdr:colOff>
      <xdr:row>73</xdr:row>
      <xdr:rowOff>0</xdr:rowOff>
    </xdr:to>
    <xdr:graphicFrame macro="">
      <xdr:nvGraphicFramePr>
        <xdr:cNvPr id="5105816" name="Graphique 4">
          <a:extLst>
            <a:ext uri="{FF2B5EF4-FFF2-40B4-BE49-F238E27FC236}">
              <a16:creationId xmlns:a16="http://schemas.microsoft.com/office/drawing/2014/main" id="{00000000-0008-0000-0200-000098E8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4</xdr:row>
      <xdr:rowOff>44450</xdr:rowOff>
    </xdr:from>
    <xdr:to>
      <xdr:col>7</xdr:col>
      <xdr:colOff>215900</xdr:colOff>
      <xdr:row>19</xdr:row>
      <xdr:rowOff>133350</xdr:rowOff>
    </xdr:to>
    <xdr:graphicFrame macro="">
      <xdr:nvGraphicFramePr>
        <xdr:cNvPr id="5110822" name="Graphique 1">
          <a:extLst>
            <a:ext uri="{FF2B5EF4-FFF2-40B4-BE49-F238E27FC236}">
              <a16:creationId xmlns:a16="http://schemas.microsoft.com/office/drawing/2014/main" id="{00000000-0008-0000-0300-000026FC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273050</xdr:colOff>
      <xdr:row>1008</xdr:row>
      <xdr:rowOff>146050</xdr:rowOff>
    </xdr:from>
    <xdr:to>
      <xdr:col>16</xdr:col>
      <xdr:colOff>152400</xdr:colOff>
      <xdr:row>1010</xdr:row>
      <xdr:rowOff>82550</xdr:rowOff>
    </xdr:to>
    <xdr:sp macro="" textlink="">
      <xdr:nvSpPr>
        <xdr:cNvPr id="3393" name="Line 60">
          <a:extLst>
            <a:ext uri="{FF2B5EF4-FFF2-40B4-BE49-F238E27FC236}">
              <a16:creationId xmlns:a16="http://schemas.microsoft.com/office/drawing/2014/main" id="{00000000-0008-0000-0400-0000410D0000}"/>
            </a:ext>
          </a:extLst>
        </xdr:cNvPr>
        <xdr:cNvSpPr>
          <a:spLocks noChangeShapeType="1"/>
        </xdr:cNvSpPr>
      </xdr:nvSpPr>
      <xdr:spPr bwMode="auto">
        <a:xfrm flipH="1">
          <a:off x="5759450" y="160172400"/>
          <a:ext cx="1098550" cy="254000"/>
        </a:xfrm>
        <a:prstGeom prst="line">
          <a:avLst/>
        </a:prstGeom>
        <a:noFill/>
        <a:ln w="9525">
          <a:solidFill>
            <a:srgbClr val="000000"/>
          </a:solidFill>
          <a:round/>
          <a:headEnd/>
          <a:tailEnd type="triangle" w="med" len="med"/>
        </a:ln>
      </xdr:spPr>
    </xdr:sp>
    <xdr:clientData/>
  </xdr:twoCellAnchor>
  <xdr:twoCellAnchor>
    <xdr:from>
      <xdr:col>12</xdr:col>
      <xdr:colOff>279400</xdr:colOff>
      <xdr:row>1011</xdr:row>
      <xdr:rowOff>95250</xdr:rowOff>
    </xdr:from>
    <xdr:to>
      <xdr:col>17</xdr:col>
      <xdr:colOff>349250</xdr:colOff>
      <xdr:row>1013</xdr:row>
      <xdr:rowOff>139700</xdr:rowOff>
    </xdr:to>
    <xdr:sp macro="" textlink="">
      <xdr:nvSpPr>
        <xdr:cNvPr id="3394" name="Line 71">
          <a:extLst>
            <a:ext uri="{FF2B5EF4-FFF2-40B4-BE49-F238E27FC236}">
              <a16:creationId xmlns:a16="http://schemas.microsoft.com/office/drawing/2014/main" id="{00000000-0008-0000-0400-0000420D0000}"/>
            </a:ext>
          </a:extLst>
        </xdr:cNvPr>
        <xdr:cNvSpPr>
          <a:spLocks noChangeShapeType="1"/>
        </xdr:cNvSpPr>
      </xdr:nvSpPr>
      <xdr:spPr bwMode="auto">
        <a:xfrm flipH="1" flipV="1">
          <a:off x="5765800" y="160597850"/>
          <a:ext cx="1892300" cy="361950"/>
        </a:xfrm>
        <a:prstGeom prst="line">
          <a:avLst/>
        </a:prstGeom>
        <a:noFill/>
        <a:ln w="9525">
          <a:solidFill>
            <a:srgbClr val="000000"/>
          </a:solidFill>
          <a:round/>
          <a:headEnd/>
          <a:tailEnd type="triangle" w="med" len="med"/>
        </a:ln>
      </xdr:spPr>
    </xdr:sp>
    <xdr:clientData/>
  </xdr:twoCellAnchor>
  <xdr:twoCellAnchor>
    <xdr:from>
      <xdr:col>12</xdr:col>
      <xdr:colOff>279400</xdr:colOff>
      <xdr:row>1012</xdr:row>
      <xdr:rowOff>139700</xdr:rowOff>
    </xdr:from>
    <xdr:to>
      <xdr:col>17</xdr:col>
      <xdr:colOff>349250</xdr:colOff>
      <xdr:row>1015</xdr:row>
      <xdr:rowOff>25400</xdr:rowOff>
    </xdr:to>
    <xdr:sp macro="" textlink="">
      <xdr:nvSpPr>
        <xdr:cNvPr id="3395" name="Line 71">
          <a:extLst>
            <a:ext uri="{FF2B5EF4-FFF2-40B4-BE49-F238E27FC236}">
              <a16:creationId xmlns:a16="http://schemas.microsoft.com/office/drawing/2014/main" id="{00000000-0008-0000-0400-0000430D0000}"/>
            </a:ext>
          </a:extLst>
        </xdr:cNvPr>
        <xdr:cNvSpPr>
          <a:spLocks noChangeShapeType="1"/>
        </xdr:cNvSpPr>
      </xdr:nvSpPr>
      <xdr:spPr bwMode="auto">
        <a:xfrm flipH="1" flipV="1">
          <a:off x="5765800" y="160801050"/>
          <a:ext cx="1892300" cy="361950"/>
        </a:xfrm>
        <a:prstGeom prst="line">
          <a:avLst/>
        </a:prstGeom>
        <a:noFill/>
        <a:ln w="9525">
          <a:solidFill>
            <a:srgbClr val="000000"/>
          </a:solidFill>
          <a:round/>
          <a:headEnd/>
          <a:tailEnd type="triangle" w="med" len="med"/>
        </a:ln>
      </xdr:spPr>
    </xdr:sp>
    <xdr:clientData/>
  </xdr:twoCellAnchor>
  <mc:AlternateContent xmlns:mc="http://schemas.openxmlformats.org/markup-compatibility/2006">
    <mc:Choice xmlns:a14="http://schemas.microsoft.com/office/drawing/2010/main" Requires="a14">
      <xdr:twoCellAnchor editAs="oneCell">
        <xdr:from>
          <xdr:col>18</xdr:col>
          <xdr:colOff>10886</xdr:colOff>
          <xdr:row>1010</xdr:row>
          <xdr:rowOff>103414</xdr:rowOff>
        </xdr:from>
        <xdr:to>
          <xdr:col>20</xdr:col>
          <xdr:colOff>293914</xdr:colOff>
          <xdr:row>1013</xdr:row>
          <xdr:rowOff>27214</xdr:rowOff>
        </xdr:to>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27214</xdr:colOff>
          <xdr:row>1024</xdr:row>
          <xdr:rowOff>157843</xdr:rowOff>
        </xdr:from>
        <xdr:to>
          <xdr:col>25</xdr:col>
          <xdr:colOff>457200</xdr:colOff>
          <xdr:row>1026</xdr:row>
          <xdr:rowOff>76200</xdr:rowOff>
        </xdr:to>
        <xdr:sp macro="" textlink="">
          <xdr:nvSpPr>
            <xdr:cNvPr id="3092" name="Object 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255814</xdr:colOff>
          <xdr:row>1006</xdr:row>
          <xdr:rowOff>27214</xdr:rowOff>
        </xdr:from>
        <xdr:to>
          <xdr:col>24</xdr:col>
          <xdr:colOff>152400</xdr:colOff>
          <xdr:row>1007</xdr:row>
          <xdr:rowOff>103414</xdr:rowOff>
        </xdr:to>
        <xdr:sp macro="" textlink="">
          <xdr:nvSpPr>
            <xdr:cNvPr id="3096" name="Object 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1017</xdr:row>
          <xdr:rowOff>163286</xdr:rowOff>
        </xdr:from>
        <xdr:to>
          <xdr:col>10</xdr:col>
          <xdr:colOff>582386</xdr:colOff>
          <xdr:row>1019</xdr:row>
          <xdr:rowOff>141514</xdr:rowOff>
        </xdr:to>
        <xdr:sp macro="" textlink="">
          <xdr:nvSpPr>
            <xdr:cNvPr id="3112" name="Object 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1014</xdr:row>
          <xdr:rowOff>179614</xdr:rowOff>
        </xdr:from>
        <xdr:to>
          <xdr:col>11</xdr:col>
          <xdr:colOff>266700</xdr:colOff>
          <xdr:row>1016</xdr:row>
          <xdr:rowOff>70757</xdr:rowOff>
        </xdr:to>
        <xdr:sp macro="" textlink="">
          <xdr:nvSpPr>
            <xdr:cNvPr id="3114" name="Object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10886</xdr:colOff>
          <xdr:row>1016</xdr:row>
          <xdr:rowOff>76200</xdr:rowOff>
        </xdr:from>
        <xdr:to>
          <xdr:col>11</xdr:col>
          <xdr:colOff>234043</xdr:colOff>
          <xdr:row>1017</xdr:row>
          <xdr:rowOff>157843</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1022</xdr:row>
          <xdr:rowOff>70757</xdr:rowOff>
        </xdr:from>
        <xdr:to>
          <xdr:col>17</xdr:col>
          <xdr:colOff>272143</xdr:colOff>
          <xdr:row>1024</xdr:row>
          <xdr:rowOff>163286</xdr:rowOff>
        </xdr:to>
        <xdr:sp macro="" textlink="">
          <xdr:nvSpPr>
            <xdr:cNvPr id="3119" name="Object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1008</xdr:row>
          <xdr:rowOff>0</xdr:rowOff>
        </xdr:from>
        <xdr:to>
          <xdr:col>11</xdr:col>
          <xdr:colOff>234043</xdr:colOff>
          <xdr:row>1010</xdr:row>
          <xdr:rowOff>87086</xdr:rowOff>
        </xdr:to>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1010</xdr:row>
          <xdr:rowOff>103414</xdr:rowOff>
        </xdr:from>
        <xdr:to>
          <xdr:col>12</xdr:col>
          <xdr:colOff>239486</xdr:colOff>
          <xdr:row>1013</xdr:row>
          <xdr:rowOff>0</xdr:rowOff>
        </xdr:to>
        <xdr:sp macro="" textlink="">
          <xdr:nvSpPr>
            <xdr:cNvPr id="3121" name="Object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1006</xdr:row>
          <xdr:rowOff>103414</xdr:rowOff>
        </xdr:from>
        <xdr:to>
          <xdr:col>3</xdr:col>
          <xdr:colOff>538843</xdr:colOff>
          <xdr:row>1007</xdr:row>
          <xdr:rowOff>179614</xdr:rowOff>
        </xdr:to>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400-00003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1024</xdr:row>
          <xdr:rowOff>179614</xdr:rowOff>
        </xdr:from>
        <xdr:to>
          <xdr:col>16</xdr:col>
          <xdr:colOff>0</xdr:colOff>
          <xdr:row>1026</xdr:row>
          <xdr:rowOff>146957</xdr:rowOff>
        </xdr:to>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400-00003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10886</xdr:colOff>
          <xdr:row>1013</xdr:row>
          <xdr:rowOff>32657</xdr:rowOff>
        </xdr:from>
        <xdr:to>
          <xdr:col>21</xdr:col>
          <xdr:colOff>27214</xdr:colOff>
          <xdr:row>1014</xdr:row>
          <xdr:rowOff>114300</xdr:rowOff>
        </xdr:to>
        <xdr:sp macro="" textlink="">
          <xdr:nvSpPr>
            <xdr:cNvPr id="3125" name="Object 53" hidden="1">
              <a:extLst>
                <a:ext uri="{63B3BB69-23CF-44E3-9099-C40C66FF867C}">
                  <a14:compatExt spid="_x0000_s3125"/>
                </a:ext>
                <a:ext uri="{FF2B5EF4-FFF2-40B4-BE49-F238E27FC236}">
                  <a16:creationId xmlns:a16="http://schemas.microsoft.com/office/drawing/2014/main" id="{00000000-0008-0000-0400-00003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10886</xdr:colOff>
          <xdr:row>1005</xdr:row>
          <xdr:rowOff>10886</xdr:rowOff>
        </xdr:from>
        <xdr:to>
          <xdr:col>10</xdr:col>
          <xdr:colOff>408214</xdr:colOff>
          <xdr:row>1006</xdr:row>
          <xdr:rowOff>87086</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4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1013</xdr:row>
          <xdr:rowOff>10886</xdr:rowOff>
        </xdr:from>
        <xdr:to>
          <xdr:col>8</xdr:col>
          <xdr:colOff>190500</xdr:colOff>
          <xdr:row>1014</xdr:row>
          <xdr:rowOff>163286</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4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10886</xdr:colOff>
          <xdr:row>1018</xdr:row>
          <xdr:rowOff>48986</xdr:rowOff>
        </xdr:from>
        <xdr:to>
          <xdr:col>24</xdr:col>
          <xdr:colOff>1077686</xdr:colOff>
          <xdr:row>1019</xdr:row>
          <xdr:rowOff>141514</xdr:rowOff>
        </xdr:to>
        <xdr:sp macro="" textlink="">
          <xdr:nvSpPr>
            <xdr:cNvPr id="3131" name="Object 59" hidden="1">
              <a:extLst>
                <a:ext uri="{63B3BB69-23CF-44E3-9099-C40C66FF867C}">
                  <a14:compatExt spid="_x0000_s3131"/>
                </a:ext>
                <a:ext uri="{FF2B5EF4-FFF2-40B4-BE49-F238E27FC236}">
                  <a16:creationId xmlns:a16="http://schemas.microsoft.com/office/drawing/2014/main" id="{00000000-0008-0000-0400-00003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1019</xdr:row>
          <xdr:rowOff>146957</xdr:rowOff>
        </xdr:from>
        <xdr:to>
          <xdr:col>20</xdr:col>
          <xdr:colOff>576943</xdr:colOff>
          <xdr:row>1022</xdr:row>
          <xdr:rowOff>48986</xdr:rowOff>
        </xdr:to>
        <xdr:sp macro="" textlink="">
          <xdr:nvSpPr>
            <xdr:cNvPr id="3134" name="Object 62" hidden="1">
              <a:extLst>
                <a:ext uri="{63B3BB69-23CF-44E3-9099-C40C66FF867C}">
                  <a14:compatExt spid="_x0000_s3134"/>
                </a:ext>
                <a:ext uri="{FF2B5EF4-FFF2-40B4-BE49-F238E27FC236}">
                  <a16:creationId xmlns:a16="http://schemas.microsoft.com/office/drawing/2014/main" id="{00000000-0008-0000-0400-00003E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1018</xdr:row>
          <xdr:rowOff>48986</xdr:rowOff>
        </xdr:from>
        <xdr:to>
          <xdr:col>19</xdr:col>
          <xdr:colOff>185057</xdr:colOff>
          <xdr:row>1019</xdr:row>
          <xdr:rowOff>141514</xdr:rowOff>
        </xdr:to>
        <xdr:sp macro="" textlink="">
          <xdr:nvSpPr>
            <xdr:cNvPr id="3135" name="Object 63" hidden="1">
              <a:extLst>
                <a:ext uri="{63B3BB69-23CF-44E3-9099-C40C66FF867C}">
                  <a14:compatExt spid="_x0000_s3135"/>
                </a:ext>
                <a:ext uri="{FF2B5EF4-FFF2-40B4-BE49-F238E27FC236}">
                  <a16:creationId xmlns:a16="http://schemas.microsoft.com/office/drawing/2014/main" id="{00000000-0008-0000-0400-00003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10886</xdr:colOff>
          <xdr:row>1007</xdr:row>
          <xdr:rowOff>119743</xdr:rowOff>
        </xdr:from>
        <xdr:to>
          <xdr:col>37</xdr:col>
          <xdr:colOff>277586</xdr:colOff>
          <xdr:row>1010</xdr:row>
          <xdr:rowOff>76200</xdr:rowOff>
        </xdr:to>
        <xdr:sp macro="" textlink="">
          <xdr:nvSpPr>
            <xdr:cNvPr id="3141" name="Object 69" hidden="1">
              <a:extLst>
                <a:ext uri="{63B3BB69-23CF-44E3-9099-C40C66FF867C}">
                  <a14:compatExt spid="_x0000_s3141"/>
                </a:ext>
                <a:ext uri="{FF2B5EF4-FFF2-40B4-BE49-F238E27FC236}">
                  <a16:creationId xmlns:a16="http://schemas.microsoft.com/office/drawing/2014/main" id="{00000000-0008-0000-0400-00004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10886</xdr:colOff>
          <xdr:row>1010</xdr:row>
          <xdr:rowOff>87086</xdr:rowOff>
        </xdr:from>
        <xdr:to>
          <xdr:col>35</xdr:col>
          <xdr:colOff>723900</xdr:colOff>
          <xdr:row>1013</xdr:row>
          <xdr:rowOff>43543</xdr:rowOff>
        </xdr:to>
        <xdr:sp macro="" textlink="">
          <xdr:nvSpPr>
            <xdr:cNvPr id="3142" name="Object 70" hidden="1">
              <a:extLst>
                <a:ext uri="{63B3BB69-23CF-44E3-9099-C40C66FF867C}">
                  <a14:compatExt spid="_x0000_s3142"/>
                </a:ext>
                <a:ext uri="{FF2B5EF4-FFF2-40B4-BE49-F238E27FC236}">
                  <a16:creationId xmlns:a16="http://schemas.microsoft.com/office/drawing/2014/main" id="{00000000-0008-0000-0400-00004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1035</xdr:row>
          <xdr:rowOff>27214</xdr:rowOff>
        </xdr:from>
        <xdr:to>
          <xdr:col>11</xdr:col>
          <xdr:colOff>560614</xdr:colOff>
          <xdr:row>1038</xdr:row>
          <xdr:rowOff>27214</xdr:rowOff>
        </xdr:to>
        <xdr:sp macro="" textlink="">
          <xdr:nvSpPr>
            <xdr:cNvPr id="3157" name="Object 85" hidden="1">
              <a:extLst>
                <a:ext uri="{63B3BB69-23CF-44E3-9099-C40C66FF867C}">
                  <a14:compatExt spid="_x0000_s3157"/>
                </a:ext>
                <a:ext uri="{FF2B5EF4-FFF2-40B4-BE49-F238E27FC236}">
                  <a16:creationId xmlns:a16="http://schemas.microsoft.com/office/drawing/2014/main" id="{00000000-0008-0000-0400-00005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1040</xdr:row>
          <xdr:rowOff>27214</xdr:rowOff>
        </xdr:from>
        <xdr:to>
          <xdr:col>12</xdr:col>
          <xdr:colOff>32657</xdr:colOff>
          <xdr:row>1043</xdr:row>
          <xdr:rowOff>27214</xdr:rowOff>
        </xdr:to>
        <xdr:sp macro="" textlink="">
          <xdr:nvSpPr>
            <xdr:cNvPr id="3158" name="Object 86" hidden="1">
              <a:extLst>
                <a:ext uri="{63B3BB69-23CF-44E3-9099-C40C66FF867C}">
                  <a14:compatExt spid="_x0000_s3158"/>
                </a:ext>
                <a:ext uri="{FF2B5EF4-FFF2-40B4-BE49-F238E27FC236}">
                  <a16:creationId xmlns:a16="http://schemas.microsoft.com/office/drawing/2014/main" id="{00000000-0008-0000-0400-00005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10886</xdr:colOff>
          <xdr:row>1014</xdr:row>
          <xdr:rowOff>119743</xdr:rowOff>
        </xdr:from>
        <xdr:to>
          <xdr:col>20</xdr:col>
          <xdr:colOff>337457</xdr:colOff>
          <xdr:row>1016</xdr:row>
          <xdr:rowOff>10886</xdr:rowOff>
        </xdr:to>
        <xdr:sp macro="" textlink="">
          <xdr:nvSpPr>
            <xdr:cNvPr id="3161" name="Object 89" hidden="1">
              <a:extLst>
                <a:ext uri="{63B3BB69-23CF-44E3-9099-C40C66FF867C}">
                  <a14:compatExt spid="_x0000_s3161"/>
                </a:ext>
                <a:ext uri="{FF2B5EF4-FFF2-40B4-BE49-F238E27FC236}">
                  <a16:creationId xmlns:a16="http://schemas.microsoft.com/office/drawing/2014/main" id="{00000000-0008-0000-0400-00005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255814</xdr:colOff>
          <xdr:row>1007</xdr:row>
          <xdr:rowOff>114300</xdr:rowOff>
        </xdr:from>
        <xdr:to>
          <xdr:col>32</xdr:col>
          <xdr:colOff>163286</xdr:colOff>
          <xdr:row>1010</xdr:row>
          <xdr:rowOff>87086</xdr:rowOff>
        </xdr:to>
        <xdr:sp macro="" textlink="">
          <xdr:nvSpPr>
            <xdr:cNvPr id="3162" name="Object 90" hidden="1">
              <a:extLst>
                <a:ext uri="{63B3BB69-23CF-44E3-9099-C40C66FF867C}">
                  <a14:compatExt spid="_x0000_s3162"/>
                </a:ext>
                <a:ext uri="{FF2B5EF4-FFF2-40B4-BE49-F238E27FC236}">
                  <a16:creationId xmlns:a16="http://schemas.microsoft.com/office/drawing/2014/main" id="{00000000-0008-0000-0400-00005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1055</xdr:row>
          <xdr:rowOff>32657</xdr:rowOff>
        </xdr:from>
        <xdr:to>
          <xdr:col>12</xdr:col>
          <xdr:colOff>337457</xdr:colOff>
          <xdr:row>1058</xdr:row>
          <xdr:rowOff>48986</xdr:rowOff>
        </xdr:to>
        <xdr:sp macro="" textlink="">
          <xdr:nvSpPr>
            <xdr:cNvPr id="3167" name="Object 95" hidden="1">
              <a:extLst>
                <a:ext uri="{63B3BB69-23CF-44E3-9099-C40C66FF867C}">
                  <a14:compatExt spid="_x0000_s3167"/>
                </a:ext>
                <a:ext uri="{FF2B5EF4-FFF2-40B4-BE49-F238E27FC236}">
                  <a16:creationId xmlns:a16="http://schemas.microsoft.com/office/drawing/2014/main" id="{00000000-0008-0000-0400-00005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1060</xdr:row>
          <xdr:rowOff>32657</xdr:rowOff>
        </xdr:from>
        <xdr:to>
          <xdr:col>15</xdr:col>
          <xdr:colOff>48986</xdr:colOff>
          <xdr:row>1063</xdr:row>
          <xdr:rowOff>48986</xdr:rowOff>
        </xdr:to>
        <xdr:sp macro="" textlink="">
          <xdr:nvSpPr>
            <xdr:cNvPr id="3168" name="Object 96" hidden="1">
              <a:extLst>
                <a:ext uri="{63B3BB69-23CF-44E3-9099-C40C66FF867C}">
                  <a14:compatExt spid="_x0000_s3168"/>
                </a:ext>
                <a:ext uri="{FF2B5EF4-FFF2-40B4-BE49-F238E27FC236}">
                  <a16:creationId xmlns:a16="http://schemas.microsoft.com/office/drawing/2014/main" id="{00000000-0008-0000-0400-00006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1065</xdr:row>
          <xdr:rowOff>32657</xdr:rowOff>
        </xdr:from>
        <xdr:to>
          <xdr:col>16</xdr:col>
          <xdr:colOff>674914</xdr:colOff>
          <xdr:row>1068</xdr:row>
          <xdr:rowOff>48986</xdr:rowOff>
        </xdr:to>
        <xdr:sp macro="" textlink="">
          <xdr:nvSpPr>
            <xdr:cNvPr id="3169" name="Object 97" hidden="1">
              <a:extLst>
                <a:ext uri="{63B3BB69-23CF-44E3-9099-C40C66FF867C}">
                  <a14:compatExt spid="_x0000_s3169"/>
                </a:ext>
                <a:ext uri="{FF2B5EF4-FFF2-40B4-BE49-F238E27FC236}">
                  <a16:creationId xmlns:a16="http://schemas.microsoft.com/office/drawing/2014/main" id="{00000000-0008-0000-0400-00006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1045</xdr:row>
          <xdr:rowOff>32657</xdr:rowOff>
        </xdr:from>
        <xdr:to>
          <xdr:col>16</xdr:col>
          <xdr:colOff>108857</xdr:colOff>
          <xdr:row>1048</xdr:row>
          <xdr:rowOff>32657</xdr:rowOff>
        </xdr:to>
        <xdr:sp macro="" textlink="">
          <xdr:nvSpPr>
            <xdr:cNvPr id="3173" name="Object 101" hidden="1">
              <a:extLst>
                <a:ext uri="{63B3BB69-23CF-44E3-9099-C40C66FF867C}">
                  <a14:compatExt spid="_x0000_s3173"/>
                </a:ext>
                <a:ext uri="{FF2B5EF4-FFF2-40B4-BE49-F238E27FC236}">
                  <a16:creationId xmlns:a16="http://schemas.microsoft.com/office/drawing/2014/main" id="{00000000-0008-0000-0400-00006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1050</xdr:row>
          <xdr:rowOff>32657</xdr:rowOff>
        </xdr:from>
        <xdr:to>
          <xdr:col>16</xdr:col>
          <xdr:colOff>386443</xdr:colOff>
          <xdr:row>1053</xdr:row>
          <xdr:rowOff>48986</xdr:rowOff>
        </xdr:to>
        <xdr:sp macro="" textlink="">
          <xdr:nvSpPr>
            <xdr:cNvPr id="3174" name="Object 102" hidden="1">
              <a:extLst>
                <a:ext uri="{63B3BB69-23CF-44E3-9099-C40C66FF867C}">
                  <a14:compatExt spid="_x0000_s3174"/>
                </a:ext>
                <a:ext uri="{FF2B5EF4-FFF2-40B4-BE49-F238E27FC236}">
                  <a16:creationId xmlns:a16="http://schemas.microsoft.com/office/drawing/2014/main" id="{00000000-0008-0000-0400-00006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1070</xdr:row>
          <xdr:rowOff>32657</xdr:rowOff>
        </xdr:from>
        <xdr:to>
          <xdr:col>12</xdr:col>
          <xdr:colOff>413657</xdr:colOff>
          <xdr:row>1073</xdr:row>
          <xdr:rowOff>48986</xdr:rowOff>
        </xdr:to>
        <xdr:sp macro="" textlink="">
          <xdr:nvSpPr>
            <xdr:cNvPr id="3178" name="Object 106" hidden="1">
              <a:extLst>
                <a:ext uri="{63B3BB69-23CF-44E3-9099-C40C66FF867C}">
                  <a14:compatExt spid="_x0000_s3178"/>
                </a:ext>
                <a:ext uri="{FF2B5EF4-FFF2-40B4-BE49-F238E27FC236}">
                  <a16:creationId xmlns:a16="http://schemas.microsoft.com/office/drawing/2014/main" id="{00000000-0008-0000-0400-00006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1053</xdr:row>
          <xdr:rowOff>32657</xdr:rowOff>
        </xdr:from>
        <xdr:to>
          <xdr:col>32</xdr:col>
          <xdr:colOff>419100</xdr:colOff>
          <xdr:row>1056</xdr:row>
          <xdr:rowOff>32657</xdr:rowOff>
        </xdr:to>
        <xdr:sp macro="" textlink="">
          <xdr:nvSpPr>
            <xdr:cNvPr id="3188" name="Object 116" hidden="1">
              <a:extLst>
                <a:ext uri="{63B3BB69-23CF-44E3-9099-C40C66FF867C}">
                  <a14:compatExt spid="_x0000_s3188"/>
                </a:ext>
                <a:ext uri="{FF2B5EF4-FFF2-40B4-BE49-F238E27FC236}">
                  <a16:creationId xmlns:a16="http://schemas.microsoft.com/office/drawing/2014/main" id="{00000000-0008-0000-0400-00007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27214</xdr:colOff>
          <xdr:row>1022</xdr:row>
          <xdr:rowOff>48986</xdr:rowOff>
        </xdr:from>
        <xdr:to>
          <xdr:col>32</xdr:col>
          <xdr:colOff>266700</xdr:colOff>
          <xdr:row>1024</xdr:row>
          <xdr:rowOff>141514</xdr:rowOff>
        </xdr:to>
        <xdr:sp macro="" textlink="">
          <xdr:nvSpPr>
            <xdr:cNvPr id="3192" name="Object 120" hidden="1">
              <a:extLst>
                <a:ext uri="{63B3BB69-23CF-44E3-9099-C40C66FF867C}">
                  <a14:compatExt spid="_x0000_s3192"/>
                </a:ext>
                <a:ext uri="{FF2B5EF4-FFF2-40B4-BE49-F238E27FC236}">
                  <a16:creationId xmlns:a16="http://schemas.microsoft.com/office/drawing/2014/main" id="{00000000-0008-0000-0400-00007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1017</xdr:row>
          <xdr:rowOff>27214</xdr:rowOff>
        </xdr:from>
        <xdr:to>
          <xdr:col>36</xdr:col>
          <xdr:colOff>163286</xdr:colOff>
          <xdr:row>1020</xdr:row>
          <xdr:rowOff>27214</xdr:rowOff>
        </xdr:to>
        <xdr:sp macro="" textlink="">
          <xdr:nvSpPr>
            <xdr:cNvPr id="3220" name="Object 148" hidden="1">
              <a:extLst>
                <a:ext uri="{63B3BB69-23CF-44E3-9099-C40C66FF867C}">
                  <a14:compatExt spid="_x0000_s3220"/>
                </a:ext>
                <a:ext uri="{FF2B5EF4-FFF2-40B4-BE49-F238E27FC236}">
                  <a16:creationId xmlns:a16="http://schemas.microsoft.com/office/drawing/2014/main" id="{00000000-0008-0000-0400-00009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1014</xdr:row>
          <xdr:rowOff>0</xdr:rowOff>
        </xdr:from>
        <xdr:to>
          <xdr:col>36</xdr:col>
          <xdr:colOff>696686</xdr:colOff>
          <xdr:row>1017</xdr:row>
          <xdr:rowOff>0</xdr:rowOff>
        </xdr:to>
        <xdr:sp macro="" textlink="">
          <xdr:nvSpPr>
            <xdr:cNvPr id="3222" name="Object 150" hidden="1">
              <a:extLst>
                <a:ext uri="{63B3BB69-23CF-44E3-9099-C40C66FF867C}">
                  <a14:compatExt spid="_x0000_s3222"/>
                </a:ext>
                <a:ext uri="{FF2B5EF4-FFF2-40B4-BE49-F238E27FC236}">
                  <a16:creationId xmlns:a16="http://schemas.microsoft.com/office/drawing/2014/main" id="{00000000-0008-0000-0400-00009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1020</xdr:row>
          <xdr:rowOff>43543</xdr:rowOff>
        </xdr:from>
        <xdr:to>
          <xdr:col>35</xdr:col>
          <xdr:colOff>141514</xdr:colOff>
          <xdr:row>1023</xdr:row>
          <xdr:rowOff>43543</xdr:rowOff>
        </xdr:to>
        <xdr:sp macro="" textlink="">
          <xdr:nvSpPr>
            <xdr:cNvPr id="3223" name="Object 151" hidden="1">
              <a:extLst>
                <a:ext uri="{63B3BB69-23CF-44E3-9099-C40C66FF867C}">
                  <a14:compatExt spid="_x0000_s3223"/>
                </a:ext>
                <a:ext uri="{FF2B5EF4-FFF2-40B4-BE49-F238E27FC236}">
                  <a16:creationId xmlns:a16="http://schemas.microsoft.com/office/drawing/2014/main" id="{00000000-0008-0000-0400-00009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1023</xdr:row>
          <xdr:rowOff>70757</xdr:rowOff>
        </xdr:from>
        <xdr:to>
          <xdr:col>36</xdr:col>
          <xdr:colOff>48986</xdr:colOff>
          <xdr:row>1026</xdr:row>
          <xdr:rowOff>70757</xdr:rowOff>
        </xdr:to>
        <xdr:sp macro="" textlink="">
          <xdr:nvSpPr>
            <xdr:cNvPr id="3225" name="Object 153" hidden="1">
              <a:extLst>
                <a:ext uri="{63B3BB69-23CF-44E3-9099-C40C66FF867C}">
                  <a14:compatExt spid="_x0000_s3225"/>
                </a:ext>
                <a:ext uri="{FF2B5EF4-FFF2-40B4-BE49-F238E27FC236}">
                  <a16:creationId xmlns:a16="http://schemas.microsoft.com/office/drawing/2014/main" id="{00000000-0008-0000-0400-00009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1048</xdr:row>
          <xdr:rowOff>32657</xdr:rowOff>
        </xdr:from>
        <xdr:to>
          <xdr:col>34</xdr:col>
          <xdr:colOff>348343</xdr:colOff>
          <xdr:row>1051</xdr:row>
          <xdr:rowOff>87086</xdr:rowOff>
        </xdr:to>
        <xdr:sp macro="" textlink="">
          <xdr:nvSpPr>
            <xdr:cNvPr id="3281" name="Object 209" hidden="1">
              <a:extLst>
                <a:ext uri="{63B3BB69-23CF-44E3-9099-C40C66FF867C}">
                  <a14:compatExt spid="_x0000_s3281"/>
                </a:ext>
                <a:ext uri="{FF2B5EF4-FFF2-40B4-BE49-F238E27FC236}">
                  <a16:creationId xmlns:a16="http://schemas.microsoft.com/office/drawing/2014/main" id="{00000000-0008-0000-0400-0000D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984250</xdr:colOff>
      <xdr:row>4</xdr:row>
      <xdr:rowOff>152400</xdr:rowOff>
    </xdr:to>
    <xdr:pic>
      <xdr:nvPicPr>
        <xdr:cNvPr id="2604352" name="Picture 8" descr="logoplasci">
          <a:extLst>
            <a:ext uri="{FF2B5EF4-FFF2-40B4-BE49-F238E27FC236}">
              <a16:creationId xmlns:a16="http://schemas.microsoft.com/office/drawing/2014/main" id="{00000000-0008-0000-0500-000040BD27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0" y="165100"/>
          <a:ext cx="984250" cy="635000"/>
        </a:xfrm>
        <a:prstGeom prst="rect">
          <a:avLst/>
        </a:prstGeom>
        <a:noFill/>
        <a:ln w="9525">
          <a:noFill/>
          <a:miter lim="800000"/>
          <a:headEnd/>
          <a:tailEnd/>
        </a:ln>
      </xdr:spPr>
    </xdr:pic>
    <xdr:clientData/>
  </xdr:twoCellAnchor>
  <xdr:twoCellAnchor>
    <xdr:from>
      <xdr:col>6</xdr:col>
      <xdr:colOff>450850</xdr:colOff>
      <xdr:row>0</xdr:row>
      <xdr:rowOff>120650</xdr:rowOff>
    </xdr:from>
    <xdr:to>
      <xdr:col>12</xdr:col>
      <xdr:colOff>450850</xdr:colOff>
      <xdr:row>18</xdr:row>
      <xdr:rowOff>25400</xdr:rowOff>
    </xdr:to>
    <xdr:graphicFrame macro="">
      <xdr:nvGraphicFramePr>
        <xdr:cNvPr id="2604353" name="Graphique 2">
          <a:extLst>
            <a:ext uri="{FF2B5EF4-FFF2-40B4-BE49-F238E27FC236}">
              <a16:creationId xmlns:a16="http://schemas.microsoft.com/office/drawing/2014/main" id="{00000000-0008-0000-0500-000041B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450850</xdr:colOff>
      <xdr:row>18</xdr:row>
      <xdr:rowOff>25400</xdr:rowOff>
    </xdr:from>
    <xdr:to>
      <xdr:col>12</xdr:col>
      <xdr:colOff>450850</xdr:colOff>
      <xdr:row>36</xdr:row>
      <xdr:rowOff>19050</xdr:rowOff>
    </xdr:to>
    <xdr:graphicFrame macro="">
      <xdr:nvGraphicFramePr>
        <xdr:cNvPr id="2604354" name="Graphique 2">
          <a:extLst>
            <a:ext uri="{FF2B5EF4-FFF2-40B4-BE49-F238E27FC236}">
              <a16:creationId xmlns:a16="http://schemas.microsoft.com/office/drawing/2014/main" id="{00000000-0008-0000-0500-000042B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12700</xdr:colOff>
      <xdr:row>18</xdr:row>
      <xdr:rowOff>25400</xdr:rowOff>
    </xdr:from>
    <xdr:to>
      <xdr:col>6</xdr:col>
      <xdr:colOff>450850</xdr:colOff>
      <xdr:row>36</xdr:row>
      <xdr:rowOff>19050</xdr:rowOff>
    </xdr:to>
    <xdr:graphicFrame macro="">
      <xdr:nvGraphicFramePr>
        <xdr:cNvPr id="2604355" name="Graphique 2">
          <a:extLst>
            <a:ext uri="{FF2B5EF4-FFF2-40B4-BE49-F238E27FC236}">
              <a16:creationId xmlns:a16="http://schemas.microsoft.com/office/drawing/2014/main" id="{00000000-0008-0000-0500-000043BD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xdr:from>
          <xdr:col>3</xdr:col>
          <xdr:colOff>653143</xdr:colOff>
          <xdr:row>9</xdr:row>
          <xdr:rowOff>195943</xdr:rowOff>
        </xdr:from>
        <xdr:to>
          <xdr:col>4</xdr:col>
          <xdr:colOff>0</xdr:colOff>
          <xdr:row>11</xdr:row>
          <xdr:rowOff>0</xdr:rowOff>
        </xdr:to>
        <xdr:sp macro="" textlink="">
          <xdr:nvSpPr>
            <xdr:cNvPr id="2604063" name="Spinner 31" hidden="1">
              <a:extLst>
                <a:ext uri="{63B3BB69-23CF-44E3-9099-C40C66FF867C}">
                  <a14:compatExt spid="_x0000_s2604063"/>
                </a:ext>
                <a:ext uri="{FF2B5EF4-FFF2-40B4-BE49-F238E27FC236}">
                  <a16:creationId xmlns:a16="http://schemas.microsoft.com/office/drawing/2014/main" id="{00000000-0008-0000-0500-00001FBC27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386443</xdr:colOff>
          <xdr:row>70</xdr:row>
          <xdr:rowOff>27214</xdr:rowOff>
        </xdr:from>
        <xdr:to>
          <xdr:col>12</xdr:col>
          <xdr:colOff>903514</xdr:colOff>
          <xdr:row>87</xdr:row>
          <xdr:rowOff>10886</xdr:rowOff>
        </xdr:to>
        <xdr:sp macro="" textlink="">
          <xdr:nvSpPr>
            <xdr:cNvPr id="2604101" name="Object 69" hidden="1">
              <a:extLst>
                <a:ext uri="{63B3BB69-23CF-44E3-9099-C40C66FF867C}">
                  <a14:compatExt spid="_x0000_s2604101"/>
                </a:ext>
                <a:ext uri="{FF2B5EF4-FFF2-40B4-BE49-F238E27FC236}">
                  <a16:creationId xmlns:a16="http://schemas.microsoft.com/office/drawing/2014/main" id="{00000000-0008-0000-0500-000045BC2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653143</xdr:colOff>
          <xdr:row>11</xdr:row>
          <xdr:rowOff>0</xdr:rowOff>
        </xdr:from>
        <xdr:to>
          <xdr:col>4</xdr:col>
          <xdr:colOff>0</xdr:colOff>
          <xdr:row>12</xdr:row>
          <xdr:rowOff>0</xdr:rowOff>
        </xdr:to>
        <xdr:sp macro="" textlink="">
          <xdr:nvSpPr>
            <xdr:cNvPr id="2604202" name="Spinner 170" hidden="1">
              <a:extLst>
                <a:ext uri="{63B3BB69-23CF-44E3-9099-C40C66FF867C}">
                  <a14:compatExt spid="_x0000_s2604202"/>
                </a:ext>
                <a:ext uri="{FF2B5EF4-FFF2-40B4-BE49-F238E27FC236}">
                  <a16:creationId xmlns:a16="http://schemas.microsoft.com/office/drawing/2014/main" id="{00000000-0008-0000-0500-0000AABC27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69850</xdr:colOff>
      <xdr:row>33</xdr:row>
      <xdr:rowOff>25400</xdr:rowOff>
    </xdr:from>
    <xdr:to>
      <xdr:col>2</xdr:col>
      <xdr:colOff>20320</xdr:colOff>
      <xdr:row>44</xdr:row>
      <xdr:rowOff>19050</xdr:rowOff>
    </xdr:to>
    <xdr:pic>
      <xdr:nvPicPr>
        <xdr:cNvPr id="5938" name="Image 1">
          <a:extLst>
            <a:ext uri="{FF2B5EF4-FFF2-40B4-BE49-F238E27FC236}">
              <a16:creationId xmlns:a16="http://schemas.microsoft.com/office/drawing/2014/main" id="{00000000-0008-0000-0600-000032170000}"/>
            </a:ext>
          </a:extLst>
        </xdr:cNvPr>
        <xdr:cNvPicPr>
          <a:picLocks noChangeAspect="1"/>
        </xdr:cNvPicPr>
      </xdr:nvPicPr>
      <xdr:blipFill>
        <a:blip xmlns:r="http://schemas.openxmlformats.org/officeDocument/2006/relationships" r:embed="rId1" cstate="print"/>
        <a:srcRect/>
        <a:stretch>
          <a:fillRect/>
        </a:stretch>
      </xdr:blipFill>
      <xdr:spPr bwMode="auto">
        <a:xfrm>
          <a:off x="69850" y="5295900"/>
          <a:ext cx="1231900" cy="1739900"/>
        </a:xfrm>
        <a:prstGeom prst="rect">
          <a:avLst/>
        </a:prstGeom>
        <a:noFill/>
        <a:ln w="9525">
          <a:noFill/>
          <a:miter lim="800000"/>
          <a:headEnd/>
          <a:tailEnd/>
        </a:ln>
      </xdr:spPr>
    </xdr:pic>
    <xdr:clientData/>
  </xdr:twoCellAnchor>
  <xdr:twoCellAnchor editAs="oneCell">
    <xdr:from>
      <xdr:col>1</xdr:col>
      <xdr:colOff>1123950</xdr:colOff>
      <xdr:row>55</xdr:row>
      <xdr:rowOff>44450</xdr:rowOff>
    </xdr:from>
    <xdr:to>
      <xdr:col>10</xdr:col>
      <xdr:colOff>609600</xdr:colOff>
      <xdr:row>83</xdr:row>
      <xdr:rowOff>17780</xdr:rowOff>
    </xdr:to>
    <xdr:pic>
      <xdr:nvPicPr>
        <xdr:cNvPr id="5939" name="Image 2">
          <a:extLst>
            <a:ext uri="{FF2B5EF4-FFF2-40B4-BE49-F238E27FC236}">
              <a16:creationId xmlns:a16="http://schemas.microsoft.com/office/drawing/2014/main" id="{00000000-0008-0000-0600-000033170000}"/>
            </a:ext>
          </a:extLst>
        </xdr:cNvPr>
        <xdr:cNvPicPr>
          <a:picLocks noChangeAspect="1"/>
        </xdr:cNvPicPr>
      </xdr:nvPicPr>
      <xdr:blipFill>
        <a:blip xmlns:r="http://schemas.openxmlformats.org/officeDocument/2006/relationships" r:embed="rId2" cstate="print"/>
        <a:srcRect/>
        <a:stretch>
          <a:fillRect/>
        </a:stretch>
      </xdr:blipFill>
      <xdr:spPr bwMode="auto">
        <a:xfrm>
          <a:off x="1276350" y="8331200"/>
          <a:ext cx="7099300" cy="442595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980440</xdr:colOff>
      <xdr:row>4</xdr:row>
      <xdr:rowOff>152400</xdr:rowOff>
    </xdr:to>
    <xdr:pic>
      <xdr:nvPicPr>
        <xdr:cNvPr id="5940" name="Picture 8" descr="logoplasci">
          <a:extLst>
            <a:ext uri="{FF2B5EF4-FFF2-40B4-BE49-F238E27FC236}">
              <a16:creationId xmlns:a16="http://schemas.microsoft.com/office/drawing/2014/main" id="{00000000-0008-0000-0600-00003417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2400" y="158750"/>
          <a:ext cx="984250" cy="62865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69850</xdr:colOff>
      <xdr:row>80</xdr:row>
      <xdr:rowOff>12700</xdr:rowOff>
    </xdr:from>
    <xdr:to>
      <xdr:col>8</xdr:col>
      <xdr:colOff>0</xdr:colOff>
      <xdr:row>102</xdr:row>
      <xdr:rowOff>107950</xdr:rowOff>
    </xdr:to>
    <xdr:grpSp>
      <xdr:nvGrpSpPr>
        <xdr:cNvPr id="5501606" name="Group 232">
          <a:extLst>
            <a:ext uri="{FF2B5EF4-FFF2-40B4-BE49-F238E27FC236}">
              <a16:creationId xmlns:a16="http://schemas.microsoft.com/office/drawing/2014/main" id="{00000000-0008-0000-0700-0000A6F25300}"/>
            </a:ext>
          </a:extLst>
        </xdr:cNvPr>
        <xdr:cNvGrpSpPr>
          <a:grpSpLocks/>
        </xdr:cNvGrpSpPr>
      </xdr:nvGrpSpPr>
      <xdr:grpSpPr bwMode="auto">
        <a:xfrm>
          <a:off x="4396921" y="12830629"/>
          <a:ext cx="2297793" cy="3622221"/>
          <a:chOff x="3421" y="5379"/>
          <a:chExt cx="2289" cy="5759"/>
        </a:xfrm>
      </xdr:grpSpPr>
      <xdr:grpSp>
        <xdr:nvGrpSpPr>
          <xdr:cNvPr id="5501710" name="Group 233">
            <a:extLst>
              <a:ext uri="{FF2B5EF4-FFF2-40B4-BE49-F238E27FC236}">
                <a16:creationId xmlns:a16="http://schemas.microsoft.com/office/drawing/2014/main" id="{00000000-0008-0000-0700-00000EF35300}"/>
              </a:ext>
            </a:extLst>
          </xdr:cNvPr>
          <xdr:cNvGrpSpPr>
            <a:grpSpLocks/>
          </xdr:cNvGrpSpPr>
        </xdr:nvGrpSpPr>
        <xdr:grpSpPr bwMode="auto">
          <a:xfrm>
            <a:off x="4047" y="5379"/>
            <a:ext cx="515" cy="4096"/>
            <a:chOff x="4047" y="5379"/>
            <a:chExt cx="515" cy="4096"/>
          </a:xfrm>
        </xdr:grpSpPr>
        <xdr:sp macro="" textlink="">
          <xdr:nvSpPr>
            <xdr:cNvPr id="5501728" name="Arc 234">
              <a:extLst>
                <a:ext uri="{FF2B5EF4-FFF2-40B4-BE49-F238E27FC236}">
                  <a16:creationId xmlns:a16="http://schemas.microsoft.com/office/drawing/2014/main" id="{00000000-0008-0000-0700-000020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729" name="Group 235">
              <a:extLst>
                <a:ext uri="{FF2B5EF4-FFF2-40B4-BE49-F238E27FC236}">
                  <a16:creationId xmlns:a16="http://schemas.microsoft.com/office/drawing/2014/main" id="{00000000-0008-0000-0700-000021F35300}"/>
                </a:ext>
              </a:extLst>
            </xdr:cNvPr>
            <xdr:cNvGrpSpPr>
              <a:grpSpLocks/>
            </xdr:cNvGrpSpPr>
          </xdr:nvGrpSpPr>
          <xdr:grpSpPr bwMode="auto">
            <a:xfrm>
              <a:off x="4047" y="6306"/>
              <a:ext cx="285" cy="3169"/>
              <a:chOff x="4050" y="6306"/>
              <a:chExt cx="285" cy="3169"/>
            </a:xfrm>
          </xdr:grpSpPr>
          <xdr:sp macro="" textlink="">
            <xdr:nvSpPr>
              <xdr:cNvPr id="5501730" name="Line 236">
                <a:extLst>
                  <a:ext uri="{FF2B5EF4-FFF2-40B4-BE49-F238E27FC236}">
                    <a16:creationId xmlns:a16="http://schemas.microsoft.com/office/drawing/2014/main" id="{00000000-0008-0000-0700-000022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731" name="Line 237">
                <a:extLst>
                  <a:ext uri="{FF2B5EF4-FFF2-40B4-BE49-F238E27FC236}">
                    <a16:creationId xmlns:a16="http://schemas.microsoft.com/office/drawing/2014/main" id="{00000000-0008-0000-0700-000023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32" name="Line 238">
                <a:extLst>
                  <a:ext uri="{FF2B5EF4-FFF2-40B4-BE49-F238E27FC236}">
                    <a16:creationId xmlns:a16="http://schemas.microsoft.com/office/drawing/2014/main" id="{00000000-0008-0000-0700-000024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33" name="Line 239">
                <a:extLst>
                  <a:ext uri="{FF2B5EF4-FFF2-40B4-BE49-F238E27FC236}">
                    <a16:creationId xmlns:a16="http://schemas.microsoft.com/office/drawing/2014/main" id="{00000000-0008-0000-0700-000025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34" name="Line 240">
                <a:extLst>
                  <a:ext uri="{FF2B5EF4-FFF2-40B4-BE49-F238E27FC236}">
                    <a16:creationId xmlns:a16="http://schemas.microsoft.com/office/drawing/2014/main" id="{00000000-0008-0000-0700-000026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grpSp>
        <xdr:nvGrpSpPr>
          <xdr:cNvPr id="5501711" name="Group 241">
            <a:extLst>
              <a:ext uri="{FF2B5EF4-FFF2-40B4-BE49-F238E27FC236}">
                <a16:creationId xmlns:a16="http://schemas.microsoft.com/office/drawing/2014/main" id="{00000000-0008-0000-0700-00000FF35300}"/>
              </a:ext>
            </a:extLst>
          </xdr:cNvPr>
          <xdr:cNvGrpSpPr>
            <a:grpSpLocks/>
          </xdr:cNvGrpSpPr>
        </xdr:nvGrpSpPr>
        <xdr:grpSpPr bwMode="auto">
          <a:xfrm flipH="1">
            <a:off x="4560" y="5379"/>
            <a:ext cx="515" cy="4096"/>
            <a:chOff x="4047" y="5379"/>
            <a:chExt cx="515" cy="4096"/>
          </a:xfrm>
        </xdr:grpSpPr>
        <xdr:sp macro="" textlink="">
          <xdr:nvSpPr>
            <xdr:cNvPr id="5501721" name="Arc 242">
              <a:extLst>
                <a:ext uri="{FF2B5EF4-FFF2-40B4-BE49-F238E27FC236}">
                  <a16:creationId xmlns:a16="http://schemas.microsoft.com/office/drawing/2014/main" id="{00000000-0008-0000-0700-000019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722" name="Group 243">
              <a:extLst>
                <a:ext uri="{FF2B5EF4-FFF2-40B4-BE49-F238E27FC236}">
                  <a16:creationId xmlns:a16="http://schemas.microsoft.com/office/drawing/2014/main" id="{00000000-0008-0000-0700-00001AF35300}"/>
                </a:ext>
              </a:extLst>
            </xdr:cNvPr>
            <xdr:cNvGrpSpPr>
              <a:grpSpLocks/>
            </xdr:cNvGrpSpPr>
          </xdr:nvGrpSpPr>
          <xdr:grpSpPr bwMode="auto">
            <a:xfrm>
              <a:off x="4047" y="6306"/>
              <a:ext cx="285" cy="3169"/>
              <a:chOff x="4050" y="6306"/>
              <a:chExt cx="285" cy="3169"/>
            </a:xfrm>
          </xdr:grpSpPr>
          <xdr:sp macro="" textlink="">
            <xdr:nvSpPr>
              <xdr:cNvPr id="5501723" name="Line 244">
                <a:extLst>
                  <a:ext uri="{FF2B5EF4-FFF2-40B4-BE49-F238E27FC236}">
                    <a16:creationId xmlns:a16="http://schemas.microsoft.com/office/drawing/2014/main" id="{00000000-0008-0000-0700-00001B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724" name="Line 245">
                <a:extLst>
                  <a:ext uri="{FF2B5EF4-FFF2-40B4-BE49-F238E27FC236}">
                    <a16:creationId xmlns:a16="http://schemas.microsoft.com/office/drawing/2014/main" id="{00000000-0008-0000-0700-00001C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25" name="Line 246">
                <a:extLst>
                  <a:ext uri="{FF2B5EF4-FFF2-40B4-BE49-F238E27FC236}">
                    <a16:creationId xmlns:a16="http://schemas.microsoft.com/office/drawing/2014/main" id="{00000000-0008-0000-0700-00001D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26" name="Line 247">
                <a:extLst>
                  <a:ext uri="{FF2B5EF4-FFF2-40B4-BE49-F238E27FC236}">
                    <a16:creationId xmlns:a16="http://schemas.microsoft.com/office/drawing/2014/main" id="{00000000-0008-0000-0700-00001E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27" name="Line 248">
                <a:extLst>
                  <a:ext uri="{FF2B5EF4-FFF2-40B4-BE49-F238E27FC236}">
                    <a16:creationId xmlns:a16="http://schemas.microsoft.com/office/drawing/2014/main" id="{00000000-0008-0000-0700-00001F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sp macro="" textlink="">
        <xdr:nvSpPr>
          <xdr:cNvPr id="5501712" name="Line 249">
            <a:extLst>
              <a:ext uri="{FF2B5EF4-FFF2-40B4-BE49-F238E27FC236}">
                <a16:creationId xmlns:a16="http://schemas.microsoft.com/office/drawing/2014/main" id="{00000000-0008-0000-0700-000010F35300}"/>
              </a:ext>
            </a:extLst>
          </xdr:cNvPr>
          <xdr:cNvSpPr>
            <a:spLocks noChangeShapeType="1"/>
          </xdr:cNvSpPr>
        </xdr:nvSpPr>
        <xdr:spPr bwMode="auto">
          <a:xfrm>
            <a:off x="4332" y="9310"/>
            <a:ext cx="2" cy="1319"/>
          </a:xfrm>
          <a:prstGeom prst="line">
            <a:avLst/>
          </a:prstGeom>
          <a:noFill/>
          <a:ln w="9525">
            <a:solidFill>
              <a:srgbClr val="00B0F0"/>
            </a:solidFill>
            <a:round/>
            <a:headEnd/>
            <a:tailEnd/>
          </a:ln>
        </xdr:spPr>
      </xdr:sp>
      <xdr:sp macro="" textlink="">
        <xdr:nvSpPr>
          <xdr:cNvPr id="5501713" name="Line 250">
            <a:extLst>
              <a:ext uri="{FF2B5EF4-FFF2-40B4-BE49-F238E27FC236}">
                <a16:creationId xmlns:a16="http://schemas.microsoft.com/office/drawing/2014/main" id="{00000000-0008-0000-0700-000011F35300}"/>
              </a:ext>
            </a:extLst>
          </xdr:cNvPr>
          <xdr:cNvSpPr>
            <a:spLocks noChangeShapeType="1"/>
          </xdr:cNvSpPr>
        </xdr:nvSpPr>
        <xdr:spPr bwMode="auto">
          <a:xfrm>
            <a:off x="4790" y="9310"/>
            <a:ext cx="0" cy="1319"/>
          </a:xfrm>
          <a:prstGeom prst="line">
            <a:avLst/>
          </a:prstGeom>
          <a:noFill/>
          <a:ln w="9525">
            <a:solidFill>
              <a:srgbClr val="00B0F0"/>
            </a:solidFill>
            <a:round/>
            <a:headEnd/>
            <a:tailEnd/>
          </a:ln>
        </xdr:spPr>
      </xdr:sp>
      <xdr:sp macro="" textlink="">
        <xdr:nvSpPr>
          <xdr:cNvPr id="5501714" name="Line 251">
            <a:extLst>
              <a:ext uri="{FF2B5EF4-FFF2-40B4-BE49-F238E27FC236}">
                <a16:creationId xmlns:a16="http://schemas.microsoft.com/office/drawing/2014/main" id="{00000000-0008-0000-0700-000012F35300}"/>
              </a:ext>
            </a:extLst>
          </xdr:cNvPr>
          <xdr:cNvSpPr>
            <a:spLocks noChangeShapeType="1"/>
          </xdr:cNvSpPr>
        </xdr:nvSpPr>
        <xdr:spPr bwMode="auto">
          <a:xfrm>
            <a:off x="4330" y="10629"/>
            <a:ext cx="458" cy="0"/>
          </a:xfrm>
          <a:prstGeom prst="line">
            <a:avLst/>
          </a:prstGeom>
          <a:noFill/>
          <a:ln w="9525">
            <a:solidFill>
              <a:srgbClr val="00B0F0"/>
            </a:solidFill>
            <a:round/>
            <a:headEnd/>
            <a:tailEnd/>
          </a:ln>
        </xdr:spPr>
      </xdr:sp>
      <xdr:sp macro="" textlink="">
        <xdr:nvSpPr>
          <xdr:cNvPr id="5501715" name="Line 252">
            <a:extLst>
              <a:ext uri="{FF2B5EF4-FFF2-40B4-BE49-F238E27FC236}">
                <a16:creationId xmlns:a16="http://schemas.microsoft.com/office/drawing/2014/main" id="{00000000-0008-0000-0700-000013F35300}"/>
              </a:ext>
            </a:extLst>
          </xdr:cNvPr>
          <xdr:cNvSpPr>
            <a:spLocks noChangeShapeType="1"/>
          </xdr:cNvSpPr>
        </xdr:nvSpPr>
        <xdr:spPr bwMode="auto">
          <a:xfrm flipV="1">
            <a:off x="5709" y="10163"/>
            <a:ext cx="1" cy="946"/>
          </a:xfrm>
          <a:prstGeom prst="line">
            <a:avLst/>
          </a:prstGeom>
          <a:noFill/>
          <a:ln w="9525">
            <a:solidFill>
              <a:srgbClr val="00B0F0"/>
            </a:solidFill>
            <a:round/>
            <a:headEnd/>
            <a:tailEnd/>
          </a:ln>
        </xdr:spPr>
      </xdr:sp>
      <xdr:sp macro="" textlink="">
        <xdr:nvSpPr>
          <xdr:cNvPr id="5501716" name="Line 253">
            <a:extLst>
              <a:ext uri="{FF2B5EF4-FFF2-40B4-BE49-F238E27FC236}">
                <a16:creationId xmlns:a16="http://schemas.microsoft.com/office/drawing/2014/main" id="{00000000-0008-0000-0700-000014F35300}"/>
              </a:ext>
            </a:extLst>
          </xdr:cNvPr>
          <xdr:cNvSpPr>
            <a:spLocks noChangeShapeType="1"/>
          </xdr:cNvSpPr>
        </xdr:nvSpPr>
        <xdr:spPr bwMode="auto">
          <a:xfrm>
            <a:off x="4796" y="10419"/>
            <a:ext cx="909" cy="712"/>
          </a:xfrm>
          <a:prstGeom prst="line">
            <a:avLst/>
          </a:prstGeom>
          <a:noFill/>
          <a:ln w="9525">
            <a:solidFill>
              <a:srgbClr val="00B0F0"/>
            </a:solidFill>
            <a:round/>
            <a:headEnd/>
            <a:tailEnd/>
          </a:ln>
        </xdr:spPr>
      </xdr:sp>
      <xdr:sp macro="" textlink="">
        <xdr:nvSpPr>
          <xdr:cNvPr id="5501717" name="Line 254">
            <a:extLst>
              <a:ext uri="{FF2B5EF4-FFF2-40B4-BE49-F238E27FC236}">
                <a16:creationId xmlns:a16="http://schemas.microsoft.com/office/drawing/2014/main" id="{00000000-0008-0000-0700-000015F35300}"/>
              </a:ext>
            </a:extLst>
          </xdr:cNvPr>
          <xdr:cNvSpPr>
            <a:spLocks noChangeShapeType="1"/>
          </xdr:cNvSpPr>
        </xdr:nvSpPr>
        <xdr:spPr bwMode="auto">
          <a:xfrm flipH="1" flipV="1">
            <a:off x="4804" y="8797"/>
            <a:ext cx="905" cy="1372"/>
          </a:xfrm>
          <a:prstGeom prst="line">
            <a:avLst/>
          </a:prstGeom>
          <a:noFill/>
          <a:ln w="9525">
            <a:solidFill>
              <a:srgbClr val="00B0F0"/>
            </a:solidFill>
            <a:round/>
            <a:headEnd/>
            <a:tailEnd/>
          </a:ln>
        </xdr:spPr>
      </xdr:sp>
      <xdr:sp macro="" textlink="">
        <xdr:nvSpPr>
          <xdr:cNvPr id="5501718" name="Line 255">
            <a:extLst>
              <a:ext uri="{FF2B5EF4-FFF2-40B4-BE49-F238E27FC236}">
                <a16:creationId xmlns:a16="http://schemas.microsoft.com/office/drawing/2014/main" id="{00000000-0008-0000-0700-000016F35300}"/>
              </a:ext>
            </a:extLst>
          </xdr:cNvPr>
          <xdr:cNvSpPr>
            <a:spLocks noChangeShapeType="1"/>
          </xdr:cNvSpPr>
        </xdr:nvSpPr>
        <xdr:spPr bwMode="auto">
          <a:xfrm flipH="1" flipV="1">
            <a:off x="3421" y="10178"/>
            <a:ext cx="1" cy="946"/>
          </a:xfrm>
          <a:prstGeom prst="line">
            <a:avLst/>
          </a:prstGeom>
          <a:noFill/>
          <a:ln w="9525">
            <a:solidFill>
              <a:srgbClr val="00B0F0"/>
            </a:solidFill>
            <a:round/>
            <a:headEnd/>
            <a:tailEnd/>
          </a:ln>
        </xdr:spPr>
      </xdr:sp>
      <xdr:sp macro="" textlink="">
        <xdr:nvSpPr>
          <xdr:cNvPr id="5501719" name="Line 256">
            <a:extLst>
              <a:ext uri="{FF2B5EF4-FFF2-40B4-BE49-F238E27FC236}">
                <a16:creationId xmlns:a16="http://schemas.microsoft.com/office/drawing/2014/main" id="{00000000-0008-0000-0700-000017F35300}"/>
              </a:ext>
            </a:extLst>
          </xdr:cNvPr>
          <xdr:cNvSpPr>
            <a:spLocks noChangeShapeType="1"/>
          </xdr:cNvSpPr>
        </xdr:nvSpPr>
        <xdr:spPr bwMode="auto">
          <a:xfrm flipH="1">
            <a:off x="3421" y="10426"/>
            <a:ext cx="909" cy="712"/>
          </a:xfrm>
          <a:prstGeom prst="line">
            <a:avLst/>
          </a:prstGeom>
          <a:noFill/>
          <a:ln w="9525">
            <a:solidFill>
              <a:srgbClr val="00B0F0"/>
            </a:solidFill>
            <a:round/>
            <a:headEnd/>
            <a:tailEnd/>
          </a:ln>
        </xdr:spPr>
      </xdr:sp>
      <xdr:sp macro="" textlink="">
        <xdr:nvSpPr>
          <xdr:cNvPr id="5501720" name="Line 257">
            <a:extLst>
              <a:ext uri="{FF2B5EF4-FFF2-40B4-BE49-F238E27FC236}">
                <a16:creationId xmlns:a16="http://schemas.microsoft.com/office/drawing/2014/main" id="{00000000-0008-0000-0700-000018F35300}"/>
              </a:ext>
            </a:extLst>
          </xdr:cNvPr>
          <xdr:cNvSpPr>
            <a:spLocks noChangeShapeType="1"/>
          </xdr:cNvSpPr>
        </xdr:nvSpPr>
        <xdr:spPr bwMode="auto">
          <a:xfrm flipV="1">
            <a:off x="3429" y="8804"/>
            <a:ext cx="905" cy="1372"/>
          </a:xfrm>
          <a:prstGeom prst="line">
            <a:avLst/>
          </a:prstGeom>
          <a:noFill/>
          <a:ln w="9525">
            <a:solidFill>
              <a:srgbClr val="00B0F0"/>
            </a:solidFill>
            <a:round/>
            <a:headEnd/>
            <a:tailEnd/>
          </a:ln>
        </xdr:spPr>
      </xdr:sp>
    </xdr:grpSp>
    <xdr:clientData/>
  </xdr:twoCellAnchor>
  <xdr:twoCellAnchor>
    <xdr:from>
      <xdr:col>6</xdr:col>
      <xdr:colOff>825500</xdr:colOff>
      <xdr:row>84</xdr:row>
      <xdr:rowOff>101600</xdr:rowOff>
    </xdr:from>
    <xdr:to>
      <xdr:col>6</xdr:col>
      <xdr:colOff>1543050</xdr:colOff>
      <xdr:row>84</xdr:row>
      <xdr:rowOff>101600</xdr:rowOff>
    </xdr:to>
    <xdr:sp macro="" textlink="">
      <xdr:nvSpPr>
        <xdr:cNvPr id="5501607" name="Line 268">
          <a:extLst>
            <a:ext uri="{FF2B5EF4-FFF2-40B4-BE49-F238E27FC236}">
              <a16:creationId xmlns:a16="http://schemas.microsoft.com/office/drawing/2014/main" id="{00000000-0008-0000-0700-0000A7F25300}"/>
            </a:ext>
          </a:extLst>
        </xdr:cNvPr>
        <xdr:cNvSpPr>
          <a:spLocks noChangeShapeType="1"/>
        </xdr:cNvSpPr>
      </xdr:nvSpPr>
      <xdr:spPr bwMode="auto">
        <a:xfrm flipV="1">
          <a:off x="5105400" y="14128750"/>
          <a:ext cx="717550" cy="0"/>
        </a:xfrm>
        <a:prstGeom prst="line">
          <a:avLst/>
        </a:prstGeom>
        <a:noFill/>
        <a:ln w="6350">
          <a:solidFill>
            <a:srgbClr val="000000"/>
          </a:solidFill>
          <a:round/>
          <a:headEnd type="triangle" w="sm" len="lg"/>
          <a:tailEnd type="triangle" w="sm" len="lg"/>
        </a:ln>
      </xdr:spPr>
    </xdr:sp>
    <xdr:clientData/>
  </xdr:twoCellAnchor>
  <xdr:twoCellAnchor>
    <xdr:from>
      <xdr:col>6</xdr:col>
      <xdr:colOff>152400</xdr:colOff>
      <xdr:row>80</xdr:row>
      <xdr:rowOff>0</xdr:rowOff>
    </xdr:from>
    <xdr:to>
      <xdr:col>8</xdr:col>
      <xdr:colOff>654050</xdr:colOff>
      <xdr:row>80</xdr:row>
      <xdr:rowOff>0</xdr:rowOff>
    </xdr:to>
    <xdr:sp macro="" textlink="">
      <xdr:nvSpPr>
        <xdr:cNvPr id="5501608" name="Line 269">
          <a:extLst>
            <a:ext uri="{FF2B5EF4-FFF2-40B4-BE49-F238E27FC236}">
              <a16:creationId xmlns:a16="http://schemas.microsoft.com/office/drawing/2014/main" id="{00000000-0008-0000-0700-0000A8F25300}"/>
            </a:ext>
          </a:extLst>
        </xdr:cNvPr>
        <xdr:cNvSpPr>
          <a:spLocks noChangeShapeType="1"/>
        </xdr:cNvSpPr>
      </xdr:nvSpPr>
      <xdr:spPr bwMode="auto">
        <a:xfrm flipV="1">
          <a:off x="4432300" y="13354050"/>
          <a:ext cx="2647950" cy="0"/>
        </a:xfrm>
        <a:prstGeom prst="line">
          <a:avLst/>
        </a:prstGeom>
        <a:noFill/>
        <a:ln w="6350">
          <a:solidFill>
            <a:srgbClr val="000000"/>
          </a:solidFill>
          <a:round/>
          <a:headEnd/>
          <a:tailEnd/>
        </a:ln>
      </xdr:spPr>
    </xdr:sp>
    <xdr:clientData/>
  </xdr:twoCellAnchor>
  <xdr:twoCellAnchor>
    <xdr:from>
      <xdr:col>8</xdr:col>
      <xdr:colOff>228600</xdr:colOff>
      <xdr:row>80</xdr:row>
      <xdr:rowOff>12700</xdr:rowOff>
    </xdr:from>
    <xdr:to>
      <xdr:col>8</xdr:col>
      <xdr:colOff>228600</xdr:colOff>
      <xdr:row>93</xdr:row>
      <xdr:rowOff>82550</xdr:rowOff>
    </xdr:to>
    <xdr:sp macro="" textlink="">
      <xdr:nvSpPr>
        <xdr:cNvPr id="5501609" name="Line 270">
          <a:extLst>
            <a:ext uri="{FF2B5EF4-FFF2-40B4-BE49-F238E27FC236}">
              <a16:creationId xmlns:a16="http://schemas.microsoft.com/office/drawing/2014/main" id="{00000000-0008-0000-0700-0000A9F25300}"/>
            </a:ext>
          </a:extLst>
        </xdr:cNvPr>
        <xdr:cNvSpPr>
          <a:spLocks noChangeShapeType="1"/>
        </xdr:cNvSpPr>
      </xdr:nvSpPr>
      <xdr:spPr bwMode="auto">
        <a:xfrm>
          <a:off x="6838950" y="13366750"/>
          <a:ext cx="0" cy="2209800"/>
        </a:xfrm>
        <a:prstGeom prst="line">
          <a:avLst/>
        </a:prstGeom>
        <a:noFill/>
        <a:ln w="6350">
          <a:solidFill>
            <a:srgbClr val="000000"/>
          </a:solidFill>
          <a:round/>
          <a:headEnd type="triangle" w="sm" len="lg"/>
          <a:tailEnd type="triangle" w="sm" len="lg"/>
        </a:ln>
      </xdr:spPr>
    </xdr:sp>
    <xdr:clientData/>
  </xdr:twoCellAnchor>
  <xdr:twoCellAnchor>
    <xdr:from>
      <xdr:col>6</xdr:col>
      <xdr:colOff>139700</xdr:colOff>
      <xdr:row>83</xdr:row>
      <xdr:rowOff>50800</xdr:rowOff>
    </xdr:from>
    <xdr:to>
      <xdr:col>6</xdr:col>
      <xdr:colOff>838200</xdr:colOff>
      <xdr:row>83</xdr:row>
      <xdr:rowOff>50800</xdr:rowOff>
    </xdr:to>
    <xdr:sp macro="" textlink="">
      <xdr:nvSpPr>
        <xdr:cNvPr id="5501610" name="Line 271">
          <a:extLst>
            <a:ext uri="{FF2B5EF4-FFF2-40B4-BE49-F238E27FC236}">
              <a16:creationId xmlns:a16="http://schemas.microsoft.com/office/drawing/2014/main" id="{00000000-0008-0000-0700-0000AAF25300}"/>
            </a:ext>
          </a:extLst>
        </xdr:cNvPr>
        <xdr:cNvSpPr>
          <a:spLocks noChangeShapeType="1"/>
        </xdr:cNvSpPr>
      </xdr:nvSpPr>
      <xdr:spPr bwMode="auto">
        <a:xfrm>
          <a:off x="4419600" y="13912850"/>
          <a:ext cx="698500" cy="0"/>
        </a:xfrm>
        <a:prstGeom prst="line">
          <a:avLst/>
        </a:prstGeom>
        <a:noFill/>
        <a:ln w="6350">
          <a:solidFill>
            <a:srgbClr val="000000"/>
          </a:solidFill>
          <a:round/>
          <a:headEnd/>
          <a:tailEnd/>
        </a:ln>
      </xdr:spPr>
    </xdr:sp>
    <xdr:clientData/>
  </xdr:twoCellAnchor>
  <xdr:twoCellAnchor>
    <xdr:from>
      <xdr:col>6</xdr:col>
      <xdr:colOff>152400</xdr:colOff>
      <xdr:row>80</xdr:row>
      <xdr:rowOff>0</xdr:rowOff>
    </xdr:from>
    <xdr:to>
      <xdr:col>6</xdr:col>
      <xdr:colOff>152400</xdr:colOff>
      <xdr:row>83</xdr:row>
      <xdr:rowOff>50800</xdr:rowOff>
    </xdr:to>
    <xdr:sp macro="" textlink="">
      <xdr:nvSpPr>
        <xdr:cNvPr id="5501611" name="Line 272">
          <a:extLst>
            <a:ext uri="{FF2B5EF4-FFF2-40B4-BE49-F238E27FC236}">
              <a16:creationId xmlns:a16="http://schemas.microsoft.com/office/drawing/2014/main" id="{00000000-0008-0000-0700-0000ABF25300}"/>
            </a:ext>
          </a:extLst>
        </xdr:cNvPr>
        <xdr:cNvSpPr>
          <a:spLocks noChangeShapeType="1"/>
        </xdr:cNvSpPr>
      </xdr:nvSpPr>
      <xdr:spPr bwMode="auto">
        <a:xfrm>
          <a:off x="4432300" y="13354050"/>
          <a:ext cx="0" cy="558800"/>
        </a:xfrm>
        <a:prstGeom prst="line">
          <a:avLst/>
        </a:prstGeom>
        <a:noFill/>
        <a:ln w="6350">
          <a:solidFill>
            <a:srgbClr val="000000"/>
          </a:solidFill>
          <a:round/>
          <a:headEnd type="triangle" w="sm" len="lg"/>
          <a:tailEnd type="triangle" w="sm" len="lg"/>
        </a:ln>
      </xdr:spPr>
    </xdr:sp>
    <xdr:clientData/>
  </xdr:twoCellAnchor>
  <xdr:twoCellAnchor>
    <xdr:from>
      <xdr:col>7</xdr:col>
      <xdr:colOff>787400</xdr:colOff>
      <xdr:row>102</xdr:row>
      <xdr:rowOff>95250</xdr:rowOff>
    </xdr:from>
    <xdr:to>
      <xdr:col>8</xdr:col>
      <xdr:colOff>552450</xdr:colOff>
      <xdr:row>102</xdr:row>
      <xdr:rowOff>95250</xdr:rowOff>
    </xdr:to>
    <xdr:sp macro="" textlink="">
      <xdr:nvSpPr>
        <xdr:cNvPr id="5501612" name="Line 277">
          <a:extLst>
            <a:ext uri="{FF2B5EF4-FFF2-40B4-BE49-F238E27FC236}">
              <a16:creationId xmlns:a16="http://schemas.microsoft.com/office/drawing/2014/main" id="{00000000-0008-0000-0700-0000ACF25300}"/>
            </a:ext>
          </a:extLst>
        </xdr:cNvPr>
        <xdr:cNvSpPr>
          <a:spLocks noChangeShapeType="1"/>
        </xdr:cNvSpPr>
      </xdr:nvSpPr>
      <xdr:spPr bwMode="auto">
        <a:xfrm>
          <a:off x="6610350" y="17068800"/>
          <a:ext cx="469900" cy="0"/>
        </a:xfrm>
        <a:prstGeom prst="line">
          <a:avLst/>
        </a:prstGeom>
        <a:noFill/>
        <a:ln w="6350">
          <a:solidFill>
            <a:srgbClr val="000000"/>
          </a:solidFill>
          <a:round/>
          <a:headEnd/>
          <a:tailEnd/>
        </a:ln>
      </xdr:spPr>
    </xdr:sp>
    <xdr:clientData/>
  </xdr:twoCellAnchor>
  <xdr:twoCellAnchor>
    <xdr:from>
      <xdr:col>8</xdr:col>
      <xdr:colOff>12700</xdr:colOff>
      <xdr:row>98</xdr:row>
      <xdr:rowOff>133350</xdr:rowOff>
    </xdr:from>
    <xdr:to>
      <xdr:col>8</xdr:col>
      <xdr:colOff>469900</xdr:colOff>
      <xdr:row>98</xdr:row>
      <xdr:rowOff>133350</xdr:rowOff>
    </xdr:to>
    <xdr:sp macro="" textlink="">
      <xdr:nvSpPr>
        <xdr:cNvPr id="5501613" name="Line 278">
          <a:extLst>
            <a:ext uri="{FF2B5EF4-FFF2-40B4-BE49-F238E27FC236}">
              <a16:creationId xmlns:a16="http://schemas.microsoft.com/office/drawing/2014/main" id="{00000000-0008-0000-0700-0000ADF25300}"/>
            </a:ext>
          </a:extLst>
        </xdr:cNvPr>
        <xdr:cNvSpPr>
          <a:spLocks noChangeShapeType="1"/>
        </xdr:cNvSpPr>
      </xdr:nvSpPr>
      <xdr:spPr bwMode="auto">
        <a:xfrm>
          <a:off x="6623050" y="16440150"/>
          <a:ext cx="457200" cy="0"/>
        </a:xfrm>
        <a:prstGeom prst="line">
          <a:avLst/>
        </a:prstGeom>
        <a:noFill/>
        <a:ln w="6350">
          <a:solidFill>
            <a:srgbClr val="000000"/>
          </a:solidFill>
          <a:round/>
          <a:headEnd/>
          <a:tailEnd/>
        </a:ln>
      </xdr:spPr>
    </xdr:sp>
    <xdr:clientData/>
  </xdr:twoCellAnchor>
  <xdr:twoCellAnchor>
    <xdr:from>
      <xdr:col>6</xdr:col>
      <xdr:colOff>476250</xdr:colOff>
      <xdr:row>93</xdr:row>
      <xdr:rowOff>76200</xdr:rowOff>
    </xdr:from>
    <xdr:to>
      <xdr:col>8</xdr:col>
      <xdr:colOff>552450</xdr:colOff>
      <xdr:row>93</xdr:row>
      <xdr:rowOff>76200</xdr:rowOff>
    </xdr:to>
    <xdr:sp macro="" textlink="">
      <xdr:nvSpPr>
        <xdr:cNvPr id="5501614" name="Line 279">
          <a:extLst>
            <a:ext uri="{FF2B5EF4-FFF2-40B4-BE49-F238E27FC236}">
              <a16:creationId xmlns:a16="http://schemas.microsoft.com/office/drawing/2014/main" id="{00000000-0008-0000-0700-0000AEF25300}"/>
            </a:ext>
          </a:extLst>
        </xdr:cNvPr>
        <xdr:cNvSpPr>
          <a:spLocks noChangeShapeType="1"/>
        </xdr:cNvSpPr>
      </xdr:nvSpPr>
      <xdr:spPr bwMode="auto">
        <a:xfrm flipV="1">
          <a:off x="4756150" y="15570200"/>
          <a:ext cx="2324100" cy="0"/>
        </a:xfrm>
        <a:prstGeom prst="line">
          <a:avLst/>
        </a:prstGeom>
        <a:noFill/>
        <a:ln w="6350">
          <a:solidFill>
            <a:srgbClr val="000000"/>
          </a:solidFill>
          <a:round/>
          <a:headEnd/>
          <a:tailEnd/>
        </a:ln>
      </xdr:spPr>
    </xdr:sp>
    <xdr:clientData/>
  </xdr:twoCellAnchor>
  <xdr:twoCellAnchor>
    <xdr:from>
      <xdr:col>6</xdr:col>
      <xdr:colOff>476250</xdr:colOff>
      <xdr:row>99</xdr:row>
      <xdr:rowOff>152400</xdr:rowOff>
    </xdr:from>
    <xdr:to>
      <xdr:col>6</xdr:col>
      <xdr:colOff>1428750</xdr:colOff>
      <xdr:row>99</xdr:row>
      <xdr:rowOff>152400</xdr:rowOff>
    </xdr:to>
    <xdr:sp macro="" textlink="">
      <xdr:nvSpPr>
        <xdr:cNvPr id="5501615" name="Line 280">
          <a:extLst>
            <a:ext uri="{FF2B5EF4-FFF2-40B4-BE49-F238E27FC236}">
              <a16:creationId xmlns:a16="http://schemas.microsoft.com/office/drawing/2014/main" id="{00000000-0008-0000-0700-0000AFF25300}"/>
            </a:ext>
          </a:extLst>
        </xdr:cNvPr>
        <xdr:cNvSpPr>
          <a:spLocks noChangeShapeType="1"/>
        </xdr:cNvSpPr>
      </xdr:nvSpPr>
      <xdr:spPr bwMode="auto">
        <a:xfrm flipV="1">
          <a:off x="4756150" y="16617950"/>
          <a:ext cx="952500" cy="0"/>
        </a:xfrm>
        <a:prstGeom prst="line">
          <a:avLst/>
        </a:prstGeom>
        <a:noFill/>
        <a:ln w="6350">
          <a:solidFill>
            <a:srgbClr val="000000"/>
          </a:solidFill>
          <a:round/>
          <a:headEnd/>
          <a:tailEnd/>
        </a:ln>
      </xdr:spPr>
    </xdr:sp>
    <xdr:clientData/>
  </xdr:twoCellAnchor>
  <xdr:twoCellAnchor>
    <xdr:from>
      <xdr:col>6</xdr:col>
      <xdr:colOff>476250</xdr:colOff>
      <xdr:row>93</xdr:row>
      <xdr:rowOff>76200</xdr:rowOff>
    </xdr:from>
    <xdr:to>
      <xdr:col>6</xdr:col>
      <xdr:colOff>476250</xdr:colOff>
      <xdr:row>100</xdr:row>
      <xdr:rowOff>0</xdr:rowOff>
    </xdr:to>
    <xdr:sp macro="" textlink="">
      <xdr:nvSpPr>
        <xdr:cNvPr id="5501616" name="Line 281">
          <a:extLst>
            <a:ext uri="{FF2B5EF4-FFF2-40B4-BE49-F238E27FC236}">
              <a16:creationId xmlns:a16="http://schemas.microsoft.com/office/drawing/2014/main" id="{00000000-0008-0000-0700-0000B0F25300}"/>
            </a:ext>
          </a:extLst>
        </xdr:cNvPr>
        <xdr:cNvSpPr>
          <a:spLocks noChangeShapeType="1"/>
        </xdr:cNvSpPr>
      </xdr:nvSpPr>
      <xdr:spPr bwMode="auto">
        <a:xfrm>
          <a:off x="4756150" y="15570200"/>
          <a:ext cx="0" cy="1066800"/>
        </a:xfrm>
        <a:prstGeom prst="line">
          <a:avLst/>
        </a:prstGeom>
        <a:noFill/>
        <a:ln w="6350">
          <a:solidFill>
            <a:srgbClr val="000000"/>
          </a:solidFill>
          <a:round/>
          <a:headEnd type="triangle" w="sm" len="lg"/>
          <a:tailEnd type="triangle" w="sm" len="lg"/>
        </a:ln>
      </xdr:spPr>
    </xdr:sp>
    <xdr:clientData/>
  </xdr:twoCellAnchor>
  <xdr:twoCellAnchor>
    <xdr:from>
      <xdr:col>8</xdr:col>
      <xdr:colOff>488950</xdr:colOff>
      <xdr:row>98</xdr:row>
      <xdr:rowOff>133350</xdr:rowOff>
    </xdr:from>
    <xdr:to>
      <xdr:col>8</xdr:col>
      <xdr:colOff>488950</xdr:colOff>
      <xdr:row>102</xdr:row>
      <xdr:rowOff>95250</xdr:rowOff>
    </xdr:to>
    <xdr:sp macro="" textlink="">
      <xdr:nvSpPr>
        <xdr:cNvPr id="5501617" name="Line 282">
          <a:extLst>
            <a:ext uri="{FF2B5EF4-FFF2-40B4-BE49-F238E27FC236}">
              <a16:creationId xmlns:a16="http://schemas.microsoft.com/office/drawing/2014/main" id="{00000000-0008-0000-0700-0000B1F25300}"/>
            </a:ext>
          </a:extLst>
        </xdr:cNvPr>
        <xdr:cNvSpPr>
          <a:spLocks noChangeShapeType="1"/>
        </xdr:cNvSpPr>
      </xdr:nvSpPr>
      <xdr:spPr bwMode="auto">
        <a:xfrm>
          <a:off x="7080250" y="16440150"/>
          <a:ext cx="0" cy="628650"/>
        </a:xfrm>
        <a:prstGeom prst="line">
          <a:avLst/>
        </a:prstGeom>
        <a:noFill/>
        <a:ln w="6350">
          <a:solidFill>
            <a:srgbClr val="000000"/>
          </a:solidFill>
          <a:round/>
          <a:headEnd type="triangle" w="sm" len="lg"/>
          <a:tailEnd type="triangle" w="sm" len="lg"/>
        </a:ln>
      </xdr:spPr>
    </xdr:sp>
    <xdr:clientData/>
  </xdr:twoCellAnchor>
  <xdr:twoCellAnchor>
    <xdr:from>
      <xdr:col>8</xdr:col>
      <xdr:colOff>488950</xdr:colOff>
      <xdr:row>93</xdr:row>
      <xdr:rowOff>63500</xdr:rowOff>
    </xdr:from>
    <xdr:to>
      <xdr:col>8</xdr:col>
      <xdr:colOff>488950</xdr:colOff>
      <xdr:row>98</xdr:row>
      <xdr:rowOff>133350</xdr:rowOff>
    </xdr:to>
    <xdr:sp macro="" textlink="">
      <xdr:nvSpPr>
        <xdr:cNvPr id="5501618" name="Line 283">
          <a:extLst>
            <a:ext uri="{FF2B5EF4-FFF2-40B4-BE49-F238E27FC236}">
              <a16:creationId xmlns:a16="http://schemas.microsoft.com/office/drawing/2014/main" id="{00000000-0008-0000-0700-0000B2F25300}"/>
            </a:ext>
          </a:extLst>
        </xdr:cNvPr>
        <xdr:cNvSpPr>
          <a:spLocks noChangeShapeType="1"/>
        </xdr:cNvSpPr>
      </xdr:nvSpPr>
      <xdr:spPr bwMode="auto">
        <a:xfrm>
          <a:off x="7080250" y="15557500"/>
          <a:ext cx="0" cy="882650"/>
        </a:xfrm>
        <a:prstGeom prst="line">
          <a:avLst/>
        </a:prstGeom>
        <a:noFill/>
        <a:ln w="6350">
          <a:solidFill>
            <a:srgbClr val="000000"/>
          </a:solidFill>
          <a:round/>
          <a:headEnd type="triangle" w="sm" len="lg"/>
          <a:tailEnd type="triangle" w="sm" len="lg"/>
        </a:ln>
      </xdr:spPr>
    </xdr:sp>
    <xdr:clientData/>
  </xdr:twoCellAnchor>
  <xdr:twoCellAnchor>
    <xdr:from>
      <xdr:col>8</xdr:col>
      <xdr:colOff>0</xdr:colOff>
      <xdr:row>102</xdr:row>
      <xdr:rowOff>95250</xdr:rowOff>
    </xdr:from>
    <xdr:to>
      <xdr:col>8</xdr:col>
      <xdr:colOff>0</xdr:colOff>
      <xdr:row>103</xdr:row>
      <xdr:rowOff>0</xdr:rowOff>
    </xdr:to>
    <xdr:sp macro="" textlink="">
      <xdr:nvSpPr>
        <xdr:cNvPr id="5501619" name="Line 284">
          <a:extLst>
            <a:ext uri="{FF2B5EF4-FFF2-40B4-BE49-F238E27FC236}">
              <a16:creationId xmlns:a16="http://schemas.microsoft.com/office/drawing/2014/main" id="{00000000-0008-0000-0700-0000B3F25300}"/>
            </a:ext>
          </a:extLst>
        </xdr:cNvPr>
        <xdr:cNvSpPr>
          <a:spLocks noChangeShapeType="1"/>
        </xdr:cNvSpPr>
      </xdr:nvSpPr>
      <xdr:spPr bwMode="auto">
        <a:xfrm flipV="1">
          <a:off x="6610350" y="17068800"/>
          <a:ext cx="0" cy="69850"/>
        </a:xfrm>
        <a:prstGeom prst="line">
          <a:avLst/>
        </a:prstGeom>
        <a:noFill/>
        <a:ln w="6350">
          <a:solidFill>
            <a:srgbClr val="000000"/>
          </a:solidFill>
          <a:round/>
          <a:headEnd/>
          <a:tailEnd/>
        </a:ln>
      </xdr:spPr>
    </xdr:sp>
    <xdr:clientData/>
  </xdr:twoCellAnchor>
  <xdr:twoCellAnchor>
    <xdr:from>
      <xdr:col>6</xdr:col>
      <xdr:colOff>1428750</xdr:colOff>
      <xdr:row>99</xdr:row>
      <xdr:rowOff>139700</xdr:rowOff>
    </xdr:from>
    <xdr:to>
      <xdr:col>6</xdr:col>
      <xdr:colOff>1428750</xdr:colOff>
      <xdr:row>103</xdr:row>
      <xdr:rowOff>0</xdr:rowOff>
    </xdr:to>
    <xdr:sp macro="" textlink="">
      <xdr:nvSpPr>
        <xdr:cNvPr id="5501620" name="Line 285">
          <a:extLst>
            <a:ext uri="{FF2B5EF4-FFF2-40B4-BE49-F238E27FC236}">
              <a16:creationId xmlns:a16="http://schemas.microsoft.com/office/drawing/2014/main" id="{00000000-0008-0000-0700-0000B4F25300}"/>
            </a:ext>
          </a:extLst>
        </xdr:cNvPr>
        <xdr:cNvSpPr>
          <a:spLocks noChangeShapeType="1"/>
        </xdr:cNvSpPr>
      </xdr:nvSpPr>
      <xdr:spPr bwMode="auto">
        <a:xfrm flipH="1" flipV="1">
          <a:off x="5708650" y="16605250"/>
          <a:ext cx="0" cy="533400"/>
        </a:xfrm>
        <a:prstGeom prst="line">
          <a:avLst/>
        </a:prstGeom>
        <a:noFill/>
        <a:ln w="6350">
          <a:solidFill>
            <a:srgbClr val="000000"/>
          </a:solidFill>
          <a:round/>
          <a:headEnd/>
          <a:tailEnd/>
        </a:ln>
      </xdr:spPr>
    </xdr:sp>
    <xdr:clientData/>
  </xdr:twoCellAnchor>
  <xdr:twoCellAnchor>
    <xdr:from>
      <xdr:col>6</xdr:col>
      <xdr:colOff>1422400</xdr:colOff>
      <xdr:row>103</xdr:row>
      <xdr:rowOff>0</xdr:rowOff>
    </xdr:from>
    <xdr:to>
      <xdr:col>8</xdr:col>
      <xdr:colOff>0</xdr:colOff>
      <xdr:row>103</xdr:row>
      <xdr:rowOff>0</xdr:rowOff>
    </xdr:to>
    <xdr:sp macro="" textlink="">
      <xdr:nvSpPr>
        <xdr:cNvPr id="5501621" name="Line 286">
          <a:extLst>
            <a:ext uri="{FF2B5EF4-FFF2-40B4-BE49-F238E27FC236}">
              <a16:creationId xmlns:a16="http://schemas.microsoft.com/office/drawing/2014/main" id="{00000000-0008-0000-0700-0000B5F25300}"/>
            </a:ext>
          </a:extLst>
        </xdr:cNvPr>
        <xdr:cNvSpPr>
          <a:spLocks noChangeShapeType="1"/>
        </xdr:cNvSpPr>
      </xdr:nvSpPr>
      <xdr:spPr bwMode="auto">
        <a:xfrm>
          <a:off x="5702300" y="17138650"/>
          <a:ext cx="908050" cy="0"/>
        </a:xfrm>
        <a:prstGeom prst="line">
          <a:avLst/>
        </a:prstGeom>
        <a:noFill/>
        <a:ln w="6350">
          <a:solidFill>
            <a:srgbClr val="000000"/>
          </a:solidFill>
          <a:round/>
          <a:headEnd type="triangle" w="sm" len="lg"/>
          <a:tailEnd type="triangle" w="sm" len="lg"/>
        </a:ln>
      </xdr:spPr>
    </xdr:sp>
    <xdr:clientData/>
  </xdr:twoCellAnchor>
  <xdr:twoCellAnchor>
    <xdr:from>
      <xdr:col>6</xdr:col>
      <xdr:colOff>685800</xdr:colOff>
      <xdr:row>89</xdr:row>
      <xdr:rowOff>69850</xdr:rowOff>
    </xdr:from>
    <xdr:to>
      <xdr:col>6</xdr:col>
      <xdr:colOff>1695450</xdr:colOff>
      <xdr:row>89</xdr:row>
      <xdr:rowOff>69850</xdr:rowOff>
    </xdr:to>
    <xdr:sp macro="" textlink="">
      <xdr:nvSpPr>
        <xdr:cNvPr id="5501622" name="Line 287">
          <a:extLst>
            <a:ext uri="{FF2B5EF4-FFF2-40B4-BE49-F238E27FC236}">
              <a16:creationId xmlns:a16="http://schemas.microsoft.com/office/drawing/2014/main" id="{00000000-0008-0000-0700-0000B6F25300}"/>
            </a:ext>
          </a:extLst>
        </xdr:cNvPr>
        <xdr:cNvSpPr>
          <a:spLocks noChangeShapeType="1"/>
        </xdr:cNvSpPr>
      </xdr:nvSpPr>
      <xdr:spPr bwMode="auto">
        <a:xfrm>
          <a:off x="4965700" y="14916150"/>
          <a:ext cx="1009650" cy="0"/>
        </a:xfrm>
        <a:prstGeom prst="line">
          <a:avLst/>
        </a:prstGeom>
        <a:noFill/>
        <a:ln w="3175">
          <a:solidFill>
            <a:srgbClr val="92D050"/>
          </a:solidFill>
          <a:prstDash val="sysDot"/>
          <a:round/>
          <a:headEnd type="triangle" w="sm" len="sm"/>
          <a:tailEnd type="triangle" w="sm" len="sm"/>
        </a:ln>
      </xdr:spPr>
    </xdr:sp>
    <xdr:clientData/>
  </xdr:twoCellAnchor>
  <xdr:twoCellAnchor>
    <xdr:from>
      <xdr:col>6</xdr:col>
      <xdr:colOff>990600</xdr:colOff>
      <xdr:row>93</xdr:row>
      <xdr:rowOff>25400</xdr:rowOff>
    </xdr:from>
    <xdr:to>
      <xdr:col>6</xdr:col>
      <xdr:colOff>1397000</xdr:colOff>
      <xdr:row>93</xdr:row>
      <xdr:rowOff>25400</xdr:rowOff>
    </xdr:to>
    <xdr:sp macro="" textlink="">
      <xdr:nvSpPr>
        <xdr:cNvPr id="5501623" name="Line 288">
          <a:extLst>
            <a:ext uri="{FF2B5EF4-FFF2-40B4-BE49-F238E27FC236}">
              <a16:creationId xmlns:a16="http://schemas.microsoft.com/office/drawing/2014/main" id="{00000000-0008-0000-0700-0000B7F25300}"/>
            </a:ext>
          </a:extLst>
        </xdr:cNvPr>
        <xdr:cNvSpPr>
          <a:spLocks noChangeShapeType="1"/>
        </xdr:cNvSpPr>
      </xdr:nvSpPr>
      <xdr:spPr bwMode="auto">
        <a:xfrm>
          <a:off x="5270500" y="15519400"/>
          <a:ext cx="406400" cy="0"/>
        </a:xfrm>
        <a:prstGeom prst="line">
          <a:avLst/>
        </a:prstGeom>
        <a:noFill/>
        <a:ln w="3175">
          <a:solidFill>
            <a:srgbClr val="92D050"/>
          </a:solidFill>
          <a:prstDash val="sysDot"/>
          <a:round/>
          <a:headEnd type="triangle" w="sm" len="sm"/>
          <a:tailEnd type="triangle" w="sm" len="sm"/>
        </a:ln>
      </xdr:spPr>
    </xdr:sp>
    <xdr:clientData/>
  </xdr:twoCellAnchor>
  <xdr:twoCellAnchor>
    <xdr:from>
      <xdr:col>6</xdr:col>
      <xdr:colOff>850900</xdr:colOff>
      <xdr:row>87</xdr:row>
      <xdr:rowOff>57150</xdr:rowOff>
    </xdr:from>
    <xdr:to>
      <xdr:col>8</xdr:col>
      <xdr:colOff>44450</xdr:colOff>
      <xdr:row>87</xdr:row>
      <xdr:rowOff>57150</xdr:rowOff>
    </xdr:to>
    <xdr:sp macro="" textlink="">
      <xdr:nvSpPr>
        <xdr:cNvPr id="5501624" name="Line 289">
          <a:extLst>
            <a:ext uri="{FF2B5EF4-FFF2-40B4-BE49-F238E27FC236}">
              <a16:creationId xmlns:a16="http://schemas.microsoft.com/office/drawing/2014/main" id="{00000000-0008-0000-0700-0000B8F25300}"/>
            </a:ext>
          </a:extLst>
        </xdr:cNvPr>
        <xdr:cNvSpPr>
          <a:spLocks noChangeShapeType="1"/>
        </xdr:cNvSpPr>
      </xdr:nvSpPr>
      <xdr:spPr bwMode="auto">
        <a:xfrm>
          <a:off x="5130800" y="14579600"/>
          <a:ext cx="1524000" cy="0"/>
        </a:xfrm>
        <a:prstGeom prst="line">
          <a:avLst/>
        </a:prstGeom>
        <a:noFill/>
        <a:ln w="6350">
          <a:solidFill>
            <a:srgbClr val="92D050"/>
          </a:solidFill>
          <a:round/>
          <a:headEnd/>
          <a:tailEnd/>
        </a:ln>
      </xdr:spPr>
    </xdr:sp>
    <xdr:clientData/>
  </xdr:twoCellAnchor>
  <xdr:twoCellAnchor>
    <xdr:from>
      <xdr:col>6</xdr:col>
      <xdr:colOff>698500</xdr:colOff>
      <xdr:row>88</xdr:row>
      <xdr:rowOff>57150</xdr:rowOff>
    </xdr:from>
    <xdr:to>
      <xdr:col>8</xdr:col>
      <xdr:colOff>57150</xdr:colOff>
      <xdr:row>88</xdr:row>
      <xdr:rowOff>57150</xdr:rowOff>
    </xdr:to>
    <xdr:sp macro="" textlink="">
      <xdr:nvSpPr>
        <xdr:cNvPr id="5501625" name="Line 290">
          <a:extLst>
            <a:ext uri="{FF2B5EF4-FFF2-40B4-BE49-F238E27FC236}">
              <a16:creationId xmlns:a16="http://schemas.microsoft.com/office/drawing/2014/main" id="{00000000-0008-0000-0700-0000B9F25300}"/>
            </a:ext>
          </a:extLst>
        </xdr:cNvPr>
        <xdr:cNvSpPr>
          <a:spLocks noChangeShapeType="1"/>
        </xdr:cNvSpPr>
      </xdr:nvSpPr>
      <xdr:spPr bwMode="auto">
        <a:xfrm>
          <a:off x="4978400" y="14738350"/>
          <a:ext cx="1689100" cy="0"/>
        </a:xfrm>
        <a:prstGeom prst="line">
          <a:avLst/>
        </a:prstGeom>
        <a:noFill/>
        <a:ln w="6350">
          <a:solidFill>
            <a:srgbClr val="92D050"/>
          </a:solidFill>
          <a:round/>
          <a:headEnd/>
          <a:tailEnd/>
        </a:ln>
      </xdr:spPr>
    </xdr:sp>
    <xdr:clientData/>
  </xdr:twoCellAnchor>
  <xdr:twoCellAnchor>
    <xdr:from>
      <xdr:col>6</xdr:col>
      <xdr:colOff>698500</xdr:colOff>
      <xdr:row>90</xdr:row>
      <xdr:rowOff>139700</xdr:rowOff>
    </xdr:from>
    <xdr:to>
      <xdr:col>8</xdr:col>
      <xdr:colOff>69850</xdr:colOff>
      <xdr:row>90</xdr:row>
      <xdr:rowOff>139700</xdr:rowOff>
    </xdr:to>
    <xdr:sp macro="" textlink="">
      <xdr:nvSpPr>
        <xdr:cNvPr id="5501626" name="Line 291">
          <a:extLst>
            <a:ext uri="{FF2B5EF4-FFF2-40B4-BE49-F238E27FC236}">
              <a16:creationId xmlns:a16="http://schemas.microsoft.com/office/drawing/2014/main" id="{00000000-0008-0000-0700-0000BAF25300}"/>
            </a:ext>
          </a:extLst>
        </xdr:cNvPr>
        <xdr:cNvSpPr>
          <a:spLocks noChangeShapeType="1"/>
        </xdr:cNvSpPr>
      </xdr:nvSpPr>
      <xdr:spPr bwMode="auto">
        <a:xfrm>
          <a:off x="4978400" y="15157450"/>
          <a:ext cx="1701800" cy="0"/>
        </a:xfrm>
        <a:prstGeom prst="line">
          <a:avLst/>
        </a:prstGeom>
        <a:noFill/>
        <a:ln w="6350">
          <a:solidFill>
            <a:srgbClr val="92D050"/>
          </a:solidFill>
          <a:round/>
          <a:headEnd/>
          <a:tailEnd/>
        </a:ln>
      </xdr:spPr>
    </xdr:sp>
    <xdr:clientData/>
  </xdr:twoCellAnchor>
  <xdr:twoCellAnchor>
    <xdr:from>
      <xdr:col>6</xdr:col>
      <xdr:colOff>977900</xdr:colOff>
      <xdr:row>92</xdr:row>
      <xdr:rowOff>44450</xdr:rowOff>
    </xdr:from>
    <xdr:to>
      <xdr:col>8</xdr:col>
      <xdr:colOff>44450</xdr:colOff>
      <xdr:row>92</xdr:row>
      <xdr:rowOff>44450</xdr:rowOff>
    </xdr:to>
    <xdr:sp macro="" textlink="">
      <xdr:nvSpPr>
        <xdr:cNvPr id="5501627" name="Line 292">
          <a:extLst>
            <a:ext uri="{FF2B5EF4-FFF2-40B4-BE49-F238E27FC236}">
              <a16:creationId xmlns:a16="http://schemas.microsoft.com/office/drawing/2014/main" id="{00000000-0008-0000-0700-0000BBF25300}"/>
            </a:ext>
          </a:extLst>
        </xdr:cNvPr>
        <xdr:cNvSpPr>
          <a:spLocks noChangeShapeType="1"/>
        </xdr:cNvSpPr>
      </xdr:nvSpPr>
      <xdr:spPr bwMode="auto">
        <a:xfrm>
          <a:off x="5257800" y="15379700"/>
          <a:ext cx="1397000" cy="0"/>
        </a:xfrm>
        <a:prstGeom prst="line">
          <a:avLst/>
        </a:prstGeom>
        <a:noFill/>
        <a:ln w="6350">
          <a:solidFill>
            <a:srgbClr val="92D050"/>
          </a:solidFill>
          <a:round/>
          <a:headEnd/>
          <a:tailEnd/>
        </a:ln>
      </xdr:spPr>
    </xdr:sp>
    <xdr:clientData/>
  </xdr:twoCellAnchor>
  <xdr:twoCellAnchor>
    <xdr:from>
      <xdr:col>6</xdr:col>
      <xdr:colOff>1790700</xdr:colOff>
      <xdr:row>80</xdr:row>
      <xdr:rowOff>0</xdr:rowOff>
    </xdr:from>
    <xdr:to>
      <xdr:col>6</xdr:col>
      <xdr:colOff>1790700</xdr:colOff>
      <xdr:row>87</xdr:row>
      <xdr:rowOff>63500</xdr:rowOff>
    </xdr:to>
    <xdr:sp macro="" textlink="">
      <xdr:nvSpPr>
        <xdr:cNvPr id="5501628" name="Line 293">
          <a:extLst>
            <a:ext uri="{FF2B5EF4-FFF2-40B4-BE49-F238E27FC236}">
              <a16:creationId xmlns:a16="http://schemas.microsoft.com/office/drawing/2014/main" id="{00000000-0008-0000-0700-0000BCF25300}"/>
            </a:ext>
          </a:extLst>
        </xdr:cNvPr>
        <xdr:cNvSpPr>
          <a:spLocks noChangeShapeType="1"/>
        </xdr:cNvSpPr>
      </xdr:nvSpPr>
      <xdr:spPr bwMode="auto">
        <a:xfrm>
          <a:off x="6070600" y="13354050"/>
          <a:ext cx="0" cy="1231900"/>
        </a:xfrm>
        <a:prstGeom prst="line">
          <a:avLst/>
        </a:prstGeom>
        <a:noFill/>
        <a:ln w="9525">
          <a:solidFill>
            <a:srgbClr val="92D050"/>
          </a:solidFill>
          <a:prstDash val="sysDot"/>
          <a:round/>
          <a:headEnd type="triangle" w="sm" len="sm"/>
          <a:tailEnd type="triangle" w="sm" len="sm"/>
        </a:ln>
      </xdr:spPr>
    </xdr:sp>
    <xdr:clientData/>
  </xdr:twoCellAnchor>
  <xdr:twoCellAnchor>
    <xdr:from>
      <xdr:col>7</xdr:col>
      <xdr:colOff>190500</xdr:colOff>
      <xdr:row>80</xdr:row>
      <xdr:rowOff>0</xdr:rowOff>
    </xdr:from>
    <xdr:to>
      <xdr:col>7</xdr:col>
      <xdr:colOff>190500</xdr:colOff>
      <xdr:row>90</xdr:row>
      <xdr:rowOff>133350</xdr:rowOff>
    </xdr:to>
    <xdr:sp macro="" textlink="">
      <xdr:nvSpPr>
        <xdr:cNvPr id="5501629" name="Line 294">
          <a:extLst>
            <a:ext uri="{FF2B5EF4-FFF2-40B4-BE49-F238E27FC236}">
              <a16:creationId xmlns:a16="http://schemas.microsoft.com/office/drawing/2014/main" id="{00000000-0008-0000-0700-0000BDF25300}"/>
            </a:ext>
          </a:extLst>
        </xdr:cNvPr>
        <xdr:cNvSpPr>
          <a:spLocks noChangeShapeType="1"/>
        </xdr:cNvSpPr>
      </xdr:nvSpPr>
      <xdr:spPr bwMode="auto">
        <a:xfrm>
          <a:off x="6330950" y="13354050"/>
          <a:ext cx="0" cy="1797050"/>
        </a:xfrm>
        <a:prstGeom prst="line">
          <a:avLst/>
        </a:prstGeom>
        <a:noFill/>
        <a:ln w="9525">
          <a:solidFill>
            <a:srgbClr val="92D050"/>
          </a:solidFill>
          <a:prstDash val="sysDot"/>
          <a:round/>
          <a:headEnd type="triangle" w="sm" len="sm"/>
          <a:tailEnd type="triangle" w="sm" len="sm"/>
        </a:ln>
      </xdr:spPr>
    </xdr:sp>
    <xdr:clientData/>
  </xdr:twoCellAnchor>
  <xdr:twoCellAnchor>
    <xdr:from>
      <xdr:col>8</xdr:col>
      <xdr:colOff>44450</xdr:colOff>
      <xdr:row>87</xdr:row>
      <xdr:rowOff>57150</xdr:rowOff>
    </xdr:from>
    <xdr:to>
      <xdr:col>8</xdr:col>
      <xdr:colOff>44450</xdr:colOff>
      <xdr:row>88</xdr:row>
      <xdr:rowOff>57150</xdr:rowOff>
    </xdr:to>
    <xdr:sp macro="" textlink="">
      <xdr:nvSpPr>
        <xdr:cNvPr id="5501630" name="Line 295">
          <a:extLst>
            <a:ext uri="{FF2B5EF4-FFF2-40B4-BE49-F238E27FC236}">
              <a16:creationId xmlns:a16="http://schemas.microsoft.com/office/drawing/2014/main" id="{00000000-0008-0000-0700-0000BEF25300}"/>
            </a:ext>
          </a:extLst>
        </xdr:cNvPr>
        <xdr:cNvSpPr>
          <a:spLocks noChangeShapeType="1"/>
        </xdr:cNvSpPr>
      </xdr:nvSpPr>
      <xdr:spPr bwMode="auto">
        <a:xfrm>
          <a:off x="6654800" y="14579600"/>
          <a:ext cx="0" cy="158750"/>
        </a:xfrm>
        <a:prstGeom prst="line">
          <a:avLst/>
        </a:prstGeom>
        <a:noFill/>
        <a:ln w="3175">
          <a:solidFill>
            <a:srgbClr val="92D050"/>
          </a:solidFill>
          <a:prstDash val="sysDot"/>
          <a:round/>
          <a:headEnd type="triangle" w="sm" len="sm"/>
          <a:tailEnd type="triangle" w="sm" len="sm"/>
        </a:ln>
      </xdr:spPr>
    </xdr:sp>
    <xdr:clientData/>
  </xdr:twoCellAnchor>
  <xdr:twoCellAnchor>
    <xdr:from>
      <xdr:col>8</xdr:col>
      <xdr:colOff>44450</xdr:colOff>
      <xdr:row>90</xdr:row>
      <xdr:rowOff>139700</xdr:rowOff>
    </xdr:from>
    <xdr:to>
      <xdr:col>8</xdr:col>
      <xdr:colOff>44450</xdr:colOff>
      <xdr:row>92</xdr:row>
      <xdr:rowOff>44450</xdr:rowOff>
    </xdr:to>
    <xdr:sp macro="" textlink="">
      <xdr:nvSpPr>
        <xdr:cNvPr id="5501631" name="Line 296">
          <a:extLst>
            <a:ext uri="{FF2B5EF4-FFF2-40B4-BE49-F238E27FC236}">
              <a16:creationId xmlns:a16="http://schemas.microsoft.com/office/drawing/2014/main" id="{00000000-0008-0000-0700-0000BFF25300}"/>
            </a:ext>
          </a:extLst>
        </xdr:cNvPr>
        <xdr:cNvSpPr>
          <a:spLocks noChangeShapeType="1"/>
        </xdr:cNvSpPr>
      </xdr:nvSpPr>
      <xdr:spPr bwMode="auto">
        <a:xfrm>
          <a:off x="6654800" y="15157450"/>
          <a:ext cx="0" cy="222250"/>
        </a:xfrm>
        <a:prstGeom prst="line">
          <a:avLst/>
        </a:prstGeom>
        <a:noFill/>
        <a:ln w="9525">
          <a:solidFill>
            <a:srgbClr val="92D050"/>
          </a:solidFill>
          <a:prstDash val="sysDot"/>
          <a:round/>
          <a:headEnd type="triangle" w="sm" len="sm"/>
          <a:tailEnd type="triangle" w="sm" len="sm"/>
        </a:ln>
      </xdr:spPr>
    </xdr:sp>
    <xdr:clientData/>
  </xdr:twoCellAnchor>
  <xdr:twoCellAnchor>
    <xdr:from>
      <xdr:col>6</xdr:col>
      <xdr:colOff>0</xdr:colOff>
      <xdr:row>84</xdr:row>
      <xdr:rowOff>101600</xdr:rowOff>
    </xdr:from>
    <xdr:to>
      <xdr:col>6</xdr:col>
      <xdr:colOff>838200</xdr:colOff>
      <xdr:row>84</xdr:row>
      <xdr:rowOff>101600</xdr:rowOff>
    </xdr:to>
    <xdr:sp macro="" textlink="">
      <xdr:nvSpPr>
        <xdr:cNvPr id="5501632" name="Line 297">
          <a:extLst>
            <a:ext uri="{FF2B5EF4-FFF2-40B4-BE49-F238E27FC236}">
              <a16:creationId xmlns:a16="http://schemas.microsoft.com/office/drawing/2014/main" id="{00000000-0008-0000-0700-0000C0F25300}"/>
            </a:ext>
          </a:extLst>
        </xdr:cNvPr>
        <xdr:cNvSpPr>
          <a:spLocks noChangeShapeType="1"/>
        </xdr:cNvSpPr>
      </xdr:nvSpPr>
      <xdr:spPr bwMode="auto">
        <a:xfrm>
          <a:off x="4279900" y="14128750"/>
          <a:ext cx="838200" cy="0"/>
        </a:xfrm>
        <a:prstGeom prst="line">
          <a:avLst/>
        </a:prstGeom>
        <a:noFill/>
        <a:ln w="9525">
          <a:solidFill>
            <a:srgbClr val="000000"/>
          </a:solidFill>
          <a:round/>
          <a:headEnd/>
          <a:tailEnd/>
        </a:ln>
      </xdr:spPr>
    </xdr:sp>
    <xdr:clientData/>
  </xdr:twoCellAnchor>
  <xdr:twoCellAnchor>
    <xdr:from>
      <xdr:col>6</xdr:col>
      <xdr:colOff>0</xdr:colOff>
      <xdr:row>89</xdr:row>
      <xdr:rowOff>69850</xdr:rowOff>
    </xdr:from>
    <xdr:to>
      <xdr:col>6</xdr:col>
      <xdr:colOff>685800</xdr:colOff>
      <xdr:row>89</xdr:row>
      <xdr:rowOff>69850</xdr:rowOff>
    </xdr:to>
    <xdr:sp macro="" textlink="">
      <xdr:nvSpPr>
        <xdr:cNvPr id="5501633" name="Line 298">
          <a:extLst>
            <a:ext uri="{FF2B5EF4-FFF2-40B4-BE49-F238E27FC236}">
              <a16:creationId xmlns:a16="http://schemas.microsoft.com/office/drawing/2014/main" id="{00000000-0008-0000-0700-0000C1F25300}"/>
            </a:ext>
          </a:extLst>
        </xdr:cNvPr>
        <xdr:cNvSpPr>
          <a:spLocks noChangeShapeType="1"/>
        </xdr:cNvSpPr>
      </xdr:nvSpPr>
      <xdr:spPr bwMode="auto">
        <a:xfrm>
          <a:off x="4279900" y="14916150"/>
          <a:ext cx="685800" cy="0"/>
        </a:xfrm>
        <a:prstGeom prst="line">
          <a:avLst/>
        </a:prstGeom>
        <a:noFill/>
        <a:ln w="9525">
          <a:solidFill>
            <a:srgbClr val="92D050"/>
          </a:solidFill>
          <a:round/>
          <a:headEnd/>
          <a:tailEnd/>
        </a:ln>
      </xdr:spPr>
    </xdr:sp>
    <xdr:clientData/>
  </xdr:twoCellAnchor>
  <xdr:twoCellAnchor>
    <xdr:from>
      <xdr:col>6</xdr:col>
      <xdr:colOff>0</xdr:colOff>
      <xdr:row>93</xdr:row>
      <xdr:rowOff>25400</xdr:rowOff>
    </xdr:from>
    <xdr:to>
      <xdr:col>6</xdr:col>
      <xdr:colOff>971550</xdr:colOff>
      <xdr:row>93</xdr:row>
      <xdr:rowOff>25400</xdr:rowOff>
    </xdr:to>
    <xdr:sp macro="" textlink="">
      <xdr:nvSpPr>
        <xdr:cNvPr id="5501634" name="Line 299">
          <a:extLst>
            <a:ext uri="{FF2B5EF4-FFF2-40B4-BE49-F238E27FC236}">
              <a16:creationId xmlns:a16="http://schemas.microsoft.com/office/drawing/2014/main" id="{00000000-0008-0000-0700-0000C2F25300}"/>
            </a:ext>
          </a:extLst>
        </xdr:cNvPr>
        <xdr:cNvSpPr>
          <a:spLocks noChangeShapeType="1"/>
        </xdr:cNvSpPr>
      </xdr:nvSpPr>
      <xdr:spPr bwMode="auto">
        <a:xfrm>
          <a:off x="4279900" y="15519400"/>
          <a:ext cx="971550" cy="0"/>
        </a:xfrm>
        <a:prstGeom prst="line">
          <a:avLst/>
        </a:prstGeom>
        <a:noFill/>
        <a:ln w="9525">
          <a:solidFill>
            <a:srgbClr val="92D050"/>
          </a:solidFill>
          <a:round/>
          <a:headEnd/>
          <a:tailEnd/>
        </a:ln>
      </xdr:spPr>
    </xdr:sp>
    <xdr:clientData/>
  </xdr:twoCellAnchor>
  <xdr:twoCellAnchor>
    <xdr:from>
      <xdr:col>6</xdr:col>
      <xdr:colOff>0</xdr:colOff>
      <xdr:row>96</xdr:row>
      <xdr:rowOff>76200</xdr:rowOff>
    </xdr:from>
    <xdr:to>
      <xdr:col>6</xdr:col>
      <xdr:colOff>476250</xdr:colOff>
      <xdr:row>96</xdr:row>
      <xdr:rowOff>76200</xdr:rowOff>
    </xdr:to>
    <xdr:sp macro="" textlink="">
      <xdr:nvSpPr>
        <xdr:cNvPr id="5501635" name="Line 300">
          <a:extLst>
            <a:ext uri="{FF2B5EF4-FFF2-40B4-BE49-F238E27FC236}">
              <a16:creationId xmlns:a16="http://schemas.microsoft.com/office/drawing/2014/main" id="{00000000-0008-0000-0700-0000C3F25300}"/>
            </a:ext>
          </a:extLst>
        </xdr:cNvPr>
        <xdr:cNvSpPr>
          <a:spLocks noChangeShapeType="1"/>
        </xdr:cNvSpPr>
      </xdr:nvSpPr>
      <xdr:spPr bwMode="auto">
        <a:xfrm>
          <a:off x="4279900" y="16052800"/>
          <a:ext cx="476250" cy="0"/>
        </a:xfrm>
        <a:prstGeom prst="line">
          <a:avLst/>
        </a:prstGeom>
        <a:noFill/>
        <a:ln w="9525">
          <a:solidFill>
            <a:srgbClr val="000000"/>
          </a:solidFill>
          <a:round/>
          <a:headEnd/>
          <a:tailEnd/>
        </a:ln>
      </xdr:spPr>
    </xdr:sp>
    <xdr:clientData/>
  </xdr:twoCellAnchor>
  <xdr:twoCellAnchor>
    <xdr:from>
      <xdr:col>7</xdr:col>
      <xdr:colOff>152400</xdr:colOff>
      <xdr:row>103</xdr:row>
      <xdr:rowOff>0</xdr:rowOff>
    </xdr:from>
    <xdr:to>
      <xdr:col>7</xdr:col>
      <xdr:colOff>152400</xdr:colOff>
      <xdr:row>104</xdr:row>
      <xdr:rowOff>12700</xdr:rowOff>
    </xdr:to>
    <xdr:sp macro="" textlink="">
      <xdr:nvSpPr>
        <xdr:cNvPr id="5501636" name="Line 301">
          <a:extLst>
            <a:ext uri="{FF2B5EF4-FFF2-40B4-BE49-F238E27FC236}">
              <a16:creationId xmlns:a16="http://schemas.microsoft.com/office/drawing/2014/main" id="{00000000-0008-0000-0700-0000C4F25300}"/>
            </a:ext>
          </a:extLst>
        </xdr:cNvPr>
        <xdr:cNvSpPr>
          <a:spLocks noChangeShapeType="1"/>
        </xdr:cNvSpPr>
      </xdr:nvSpPr>
      <xdr:spPr bwMode="auto">
        <a:xfrm>
          <a:off x="6292850" y="17138650"/>
          <a:ext cx="0" cy="184150"/>
        </a:xfrm>
        <a:prstGeom prst="line">
          <a:avLst/>
        </a:prstGeom>
        <a:noFill/>
        <a:ln w="9525">
          <a:solidFill>
            <a:srgbClr val="000000"/>
          </a:solidFill>
          <a:round/>
          <a:headEnd/>
          <a:tailEnd/>
        </a:ln>
      </xdr:spPr>
    </xdr:sp>
    <xdr:clientData/>
  </xdr:twoCellAnchor>
  <xdr:twoCellAnchor>
    <xdr:from>
      <xdr:col>6</xdr:col>
      <xdr:colOff>0</xdr:colOff>
      <xdr:row>81</xdr:row>
      <xdr:rowOff>76200</xdr:rowOff>
    </xdr:from>
    <xdr:to>
      <xdr:col>6</xdr:col>
      <xdr:colOff>152400</xdr:colOff>
      <xdr:row>81</xdr:row>
      <xdr:rowOff>76200</xdr:rowOff>
    </xdr:to>
    <xdr:sp macro="" textlink="">
      <xdr:nvSpPr>
        <xdr:cNvPr id="5501637" name="Line 302">
          <a:extLst>
            <a:ext uri="{FF2B5EF4-FFF2-40B4-BE49-F238E27FC236}">
              <a16:creationId xmlns:a16="http://schemas.microsoft.com/office/drawing/2014/main" id="{00000000-0008-0000-0700-0000C5F25300}"/>
            </a:ext>
          </a:extLst>
        </xdr:cNvPr>
        <xdr:cNvSpPr>
          <a:spLocks noChangeShapeType="1"/>
        </xdr:cNvSpPr>
      </xdr:nvSpPr>
      <xdr:spPr bwMode="auto">
        <a:xfrm>
          <a:off x="4279900" y="13601700"/>
          <a:ext cx="152400" cy="0"/>
        </a:xfrm>
        <a:prstGeom prst="line">
          <a:avLst/>
        </a:prstGeom>
        <a:noFill/>
        <a:ln w="9525">
          <a:solidFill>
            <a:srgbClr val="000000"/>
          </a:solidFill>
          <a:round/>
          <a:headEnd/>
          <a:tailEnd/>
        </a:ln>
      </xdr:spPr>
    </xdr:sp>
    <xdr:clientData/>
  </xdr:twoCellAnchor>
  <xdr:twoCellAnchor>
    <xdr:from>
      <xdr:col>6</xdr:col>
      <xdr:colOff>1778000</xdr:colOff>
      <xdr:row>83</xdr:row>
      <xdr:rowOff>82550</xdr:rowOff>
    </xdr:from>
    <xdr:to>
      <xdr:col>9</xdr:col>
      <xdr:colOff>0</xdr:colOff>
      <xdr:row>83</xdr:row>
      <xdr:rowOff>82550</xdr:rowOff>
    </xdr:to>
    <xdr:sp macro="" textlink="">
      <xdr:nvSpPr>
        <xdr:cNvPr id="5501638" name="Line 303">
          <a:extLst>
            <a:ext uri="{FF2B5EF4-FFF2-40B4-BE49-F238E27FC236}">
              <a16:creationId xmlns:a16="http://schemas.microsoft.com/office/drawing/2014/main" id="{00000000-0008-0000-0700-0000C6F25300}"/>
            </a:ext>
          </a:extLst>
        </xdr:cNvPr>
        <xdr:cNvSpPr>
          <a:spLocks noChangeShapeType="1"/>
        </xdr:cNvSpPr>
      </xdr:nvSpPr>
      <xdr:spPr bwMode="auto">
        <a:xfrm flipV="1">
          <a:off x="6057900" y="13944600"/>
          <a:ext cx="1022350" cy="0"/>
        </a:xfrm>
        <a:prstGeom prst="line">
          <a:avLst/>
        </a:prstGeom>
        <a:noFill/>
        <a:ln w="9525">
          <a:solidFill>
            <a:srgbClr val="92D050"/>
          </a:solidFill>
          <a:prstDash val="sysDot"/>
          <a:round/>
          <a:headEnd/>
          <a:tailEnd/>
        </a:ln>
      </xdr:spPr>
    </xdr:sp>
    <xdr:clientData/>
  </xdr:twoCellAnchor>
  <xdr:twoCellAnchor>
    <xdr:from>
      <xdr:col>7</xdr:col>
      <xdr:colOff>190500</xdr:colOff>
      <xdr:row>85</xdr:row>
      <xdr:rowOff>76200</xdr:rowOff>
    </xdr:from>
    <xdr:to>
      <xdr:col>9</xdr:col>
      <xdr:colOff>0</xdr:colOff>
      <xdr:row>85</xdr:row>
      <xdr:rowOff>76200</xdr:rowOff>
    </xdr:to>
    <xdr:sp macro="" textlink="">
      <xdr:nvSpPr>
        <xdr:cNvPr id="5501639" name="Line 304">
          <a:extLst>
            <a:ext uri="{FF2B5EF4-FFF2-40B4-BE49-F238E27FC236}">
              <a16:creationId xmlns:a16="http://schemas.microsoft.com/office/drawing/2014/main" id="{00000000-0008-0000-0700-0000C7F25300}"/>
            </a:ext>
          </a:extLst>
        </xdr:cNvPr>
        <xdr:cNvSpPr>
          <a:spLocks noChangeShapeType="1"/>
        </xdr:cNvSpPr>
      </xdr:nvSpPr>
      <xdr:spPr bwMode="auto">
        <a:xfrm flipV="1">
          <a:off x="6330950" y="14274800"/>
          <a:ext cx="749300" cy="0"/>
        </a:xfrm>
        <a:prstGeom prst="line">
          <a:avLst/>
        </a:prstGeom>
        <a:noFill/>
        <a:ln w="9525">
          <a:solidFill>
            <a:srgbClr val="92D050"/>
          </a:solidFill>
          <a:prstDash val="sysDot"/>
          <a:round/>
          <a:headEnd/>
          <a:tailEnd/>
        </a:ln>
      </xdr:spPr>
    </xdr:sp>
    <xdr:clientData/>
  </xdr:twoCellAnchor>
  <xdr:twoCellAnchor>
    <xdr:from>
      <xdr:col>8</xdr:col>
      <xdr:colOff>44450</xdr:colOff>
      <xdr:row>87</xdr:row>
      <xdr:rowOff>133350</xdr:rowOff>
    </xdr:from>
    <xdr:to>
      <xdr:col>9</xdr:col>
      <xdr:colOff>0</xdr:colOff>
      <xdr:row>87</xdr:row>
      <xdr:rowOff>133350</xdr:rowOff>
    </xdr:to>
    <xdr:sp macro="" textlink="">
      <xdr:nvSpPr>
        <xdr:cNvPr id="5501640" name="Line 305">
          <a:extLst>
            <a:ext uri="{FF2B5EF4-FFF2-40B4-BE49-F238E27FC236}">
              <a16:creationId xmlns:a16="http://schemas.microsoft.com/office/drawing/2014/main" id="{00000000-0008-0000-0700-0000C8F25300}"/>
            </a:ext>
          </a:extLst>
        </xdr:cNvPr>
        <xdr:cNvSpPr>
          <a:spLocks noChangeShapeType="1"/>
        </xdr:cNvSpPr>
      </xdr:nvSpPr>
      <xdr:spPr bwMode="auto">
        <a:xfrm flipV="1">
          <a:off x="6654800" y="14655800"/>
          <a:ext cx="425450" cy="0"/>
        </a:xfrm>
        <a:prstGeom prst="line">
          <a:avLst/>
        </a:prstGeom>
        <a:noFill/>
        <a:ln w="9525">
          <a:solidFill>
            <a:srgbClr val="92D050"/>
          </a:solidFill>
          <a:prstDash val="sysDot"/>
          <a:round/>
          <a:headEnd/>
          <a:tailEnd/>
        </a:ln>
      </xdr:spPr>
    </xdr:sp>
    <xdr:clientData/>
  </xdr:twoCellAnchor>
  <xdr:twoCellAnchor>
    <xdr:from>
      <xdr:col>8</xdr:col>
      <xdr:colOff>488950</xdr:colOff>
      <xdr:row>89</xdr:row>
      <xdr:rowOff>88900</xdr:rowOff>
    </xdr:from>
    <xdr:to>
      <xdr:col>9</xdr:col>
      <xdr:colOff>0</xdr:colOff>
      <xdr:row>89</xdr:row>
      <xdr:rowOff>88900</xdr:rowOff>
    </xdr:to>
    <xdr:sp macro="" textlink="">
      <xdr:nvSpPr>
        <xdr:cNvPr id="5501641" name="Line 307">
          <a:extLst>
            <a:ext uri="{FF2B5EF4-FFF2-40B4-BE49-F238E27FC236}">
              <a16:creationId xmlns:a16="http://schemas.microsoft.com/office/drawing/2014/main" id="{00000000-0008-0000-0700-0000C9F25300}"/>
            </a:ext>
          </a:extLst>
        </xdr:cNvPr>
        <xdr:cNvSpPr>
          <a:spLocks noChangeShapeType="1"/>
        </xdr:cNvSpPr>
      </xdr:nvSpPr>
      <xdr:spPr bwMode="auto">
        <a:xfrm flipV="1">
          <a:off x="7080250" y="14935200"/>
          <a:ext cx="0" cy="0"/>
        </a:xfrm>
        <a:prstGeom prst="line">
          <a:avLst/>
        </a:prstGeom>
        <a:noFill/>
        <a:ln w="9525">
          <a:solidFill>
            <a:srgbClr val="000000"/>
          </a:solidFill>
          <a:round/>
          <a:headEnd/>
          <a:tailEnd/>
        </a:ln>
      </xdr:spPr>
    </xdr:sp>
    <xdr:clientData/>
  </xdr:twoCellAnchor>
  <xdr:twoCellAnchor>
    <xdr:from>
      <xdr:col>8</xdr:col>
      <xdr:colOff>44450</xdr:colOff>
      <xdr:row>91</xdr:row>
      <xdr:rowOff>76200</xdr:rowOff>
    </xdr:from>
    <xdr:to>
      <xdr:col>9</xdr:col>
      <xdr:colOff>12700</xdr:colOff>
      <xdr:row>91</xdr:row>
      <xdr:rowOff>76200</xdr:rowOff>
    </xdr:to>
    <xdr:sp macro="" textlink="">
      <xdr:nvSpPr>
        <xdr:cNvPr id="5501642" name="Line 308">
          <a:extLst>
            <a:ext uri="{FF2B5EF4-FFF2-40B4-BE49-F238E27FC236}">
              <a16:creationId xmlns:a16="http://schemas.microsoft.com/office/drawing/2014/main" id="{00000000-0008-0000-0700-0000CAF25300}"/>
            </a:ext>
          </a:extLst>
        </xdr:cNvPr>
        <xdr:cNvSpPr>
          <a:spLocks noChangeShapeType="1"/>
        </xdr:cNvSpPr>
      </xdr:nvSpPr>
      <xdr:spPr bwMode="auto">
        <a:xfrm flipH="1" flipV="1">
          <a:off x="6654800" y="15252700"/>
          <a:ext cx="438150" cy="0"/>
        </a:xfrm>
        <a:prstGeom prst="line">
          <a:avLst/>
        </a:prstGeom>
        <a:noFill/>
        <a:ln w="9525">
          <a:solidFill>
            <a:srgbClr val="92D050"/>
          </a:solidFill>
          <a:prstDash val="sysDot"/>
          <a:round/>
          <a:headEnd type="none" w="sm" len="sm"/>
          <a:tailEnd type="none" w="sm" len="sm"/>
        </a:ln>
      </xdr:spPr>
    </xdr:sp>
    <xdr:clientData/>
  </xdr:twoCellAnchor>
  <xdr:twoCellAnchor>
    <xdr:from>
      <xdr:col>8</xdr:col>
      <xdr:colOff>488950</xdr:colOff>
      <xdr:row>96</xdr:row>
      <xdr:rowOff>76200</xdr:rowOff>
    </xdr:from>
    <xdr:to>
      <xdr:col>9</xdr:col>
      <xdr:colOff>0</xdr:colOff>
      <xdr:row>96</xdr:row>
      <xdr:rowOff>76200</xdr:rowOff>
    </xdr:to>
    <xdr:sp macro="" textlink="">
      <xdr:nvSpPr>
        <xdr:cNvPr id="5501643" name="Line 309">
          <a:extLst>
            <a:ext uri="{FF2B5EF4-FFF2-40B4-BE49-F238E27FC236}">
              <a16:creationId xmlns:a16="http://schemas.microsoft.com/office/drawing/2014/main" id="{00000000-0008-0000-0700-0000CBF25300}"/>
            </a:ext>
          </a:extLst>
        </xdr:cNvPr>
        <xdr:cNvSpPr>
          <a:spLocks noChangeShapeType="1"/>
        </xdr:cNvSpPr>
      </xdr:nvSpPr>
      <xdr:spPr bwMode="auto">
        <a:xfrm>
          <a:off x="7080250" y="16052800"/>
          <a:ext cx="0" cy="0"/>
        </a:xfrm>
        <a:prstGeom prst="line">
          <a:avLst/>
        </a:prstGeom>
        <a:noFill/>
        <a:ln w="9525">
          <a:solidFill>
            <a:srgbClr val="000000"/>
          </a:solidFill>
          <a:round/>
          <a:headEnd/>
          <a:tailEnd/>
        </a:ln>
      </xdr:spPr>
    </xdr:sp>
    <xdr:clientData/>
  </xdr:twoCellAnchor>
  <xdr:twoCellAnchor>
    <xdr:from>
      <xdr:col>8</xdr:col>
      <xdr:colOff>488950</xdr:colOff>
      <xdr:row>100</xdr:row>
      <xdr:rowOff>88900</xdr:rowOff>
    </xdr:from>
    <xdr:to>
      <xdr:col>9</xdr:col>
      <xdr:colOff>0</xdr:colOff>
      <xdr:row>100</xdr:row>
      <xdr:rowOff>88900</xdr:rowOff>
    </xdr:to>
    <xdr:sp macro="" textlink="">
      <xdr:nvSpPr>
        <xdr:cNvPr id="5501644" name="Line 310">
          <a:extLst>
            <a:ext uri="{FF2B5EF4-FFF2-40B4-BE49-F238E27FC236}">
              <a16:creationId xmlns:a16="http://schemas.microsoft.com/office/drawing/2014/main" id="{00000000-0008-0000-0700-0000CCF25300}"/>
            </a:ext>
          </a:extLst>
        </xdr:cNvPr>
        <xdr:cNvSpPr>
          <a:spLocks noChangeShapeType="1"/>
        </xdr:cNvSpPr>
      </xdr:nvSpPr>
      <xdr:spPr bwMode="auto">
        <a:xfrm>
          <a:off x="7080250" y="16725900"/>
          <a:ext cx="0" cy="0"/>
        </a:xfrm>
        <a:prstGeom prst="line">
          <a:avLst/>
        </a:prstGeom>
        <a:noFill/>
        <a:ln w="9525">
          <a:solidFill>
            <a:srgbClr val="000000"/>
          </a:solidFill>
          <a:round/>
          <a:headEnd/>
          <a:tailEnd/>
        </a:ln>
      </xdr:spPr>
    </xdr:sp>
    <xdr:clientData/>
  </xdr:twoCellAnchor>
  <xdr:twoCellAnchor>
    <xdr:from>
      <xdr:col>8</xdr:col>
      <xdr:colOff>222250</xdr:colOff>
      <xdr:row>89</xdr:row>
      <xdr:rowOff>88900</xdr:rowOff>
    </xdr:from>
    <xdr:to>
      <xdr:col>8</xdr:col>
      <xdr:colOff>463550</xdr:colOff>
      <xdr:row>89</xdr:row>
      <xdr:rowOff>88900</xdr:rowOff>
    </xdr:to>
    <xdr:sp macro="" textlink="">
      <xdr:nvSpPr>
        <xdr:cNvPr id="5501645" name="Line 278">
          <a:extLst>
            <a:ext uri="{FF2B5EF4-FFF2-40B4-BE49-F238E27FC236}">
              <a16:creationId xmlns:a16="http://schemas.microsoft.com/office/drawing/2014/main" id="{00000000-0008-0000-0700-0000CDF25300}"/>
            </a:ext>
          </a:extLst>
        </xdr:cNvPr>
        <xdr:cNvSpPr>
          <a:spLocks noChangeShapeType="1"/>
        </xdr:cNvSpPr>
      </xdr:nvSpPr>
      <xdr:spPr bwMode="auto">
        <a:xfrm>
          <a:off x="6832600" y="14935200"/>
          <a:ext cx="241300" cy="0"/>
        </a:xfrm>
        <a:prstGeom prst="line">
          <a:avLst/>
        </a:prstGeom>
        <a:noFill/>
        <a:ln w="6350">
          <a:solidFill>
            <a:srgbClr val="000000"/>
          </a:solidFill>
          <a:round/>
          <a:headEnd/>
          <a:tailEnd/>
        </a:ln>
      </xdr:spPr>
    </xdr:sp>
    <xdr:clientData/>
  </xdr:twoCellAnchor>
  <xdr:twoCellAnchor>
    <xdr:from>
      <xdr:col>17</xdr:col>
      <xdr:colOff>69850</xdr:colOff>
      <xdr:row>1</xdr:row>
      <xdr:rowOff>12700</xdr:rowOff>
    </xdr:from>
    <xdr:to>
      <xdr:col>19</xdr:col>
      <xdr:colOff>0</xdr:colOff>
      <xdr:row>31</xdr:row>
      <xdr:rowOff>101600</xdr:rowOff>
    </xdr:to>
    <xdr:grpSp>
      <xdr:nvGrpSpPr>
        <xdr:cNvPr id="5501646" name="Group 232">
          <a:extLst>
            <a:ext uri="{FF2B5EF4-FFF2-40B4-BE49-F238E27FC236}">
              <a16:creationId xmlns:a16="http://schemas.microsoft.com/office/drawing/2014/main" id="{00000000-0008-0000-0700-0000CEF25300}"/>
            </a:ext>
          </a:extLst>
        </xdr:cNvPr>
        <xdr:cNvGrpSpPr>
          <a:grpSpLocks/>
        </xdr:cNvGrpSpPr>
      </xdr:nvGrpSpPr>
      <xdr:grpSpPr bwMode="auto">
        <a:xfrm>
          <a:off x="13813064" y="175986"/>
          <a:ext cx="2216150" cy="4976585"/>
          <a:chOff x="3421" y="5379"/>
          <a:chExt cx="2289" cy="5759"/>
        </a:xfrm>
      </xdr:grpSpPr>
      <xdr:grpSp>
        <xdr:nvGrpSpPr>
          <xdr:cNvPr id="5501685" name="Group 233">
            <a:extLst>
              <a:ext uri="{FF2B5EF4-FFF2-40B4-BE49-F238E27FC236}">
                <a16:creationId xmlns:a16="http://schemas.microsoft.com/office/drawing/2014/main" id="{00000000-0008-0000-0700-0000F5F25300}"/>
              </a:ext>
            </a:extLst>
          </xdr:cNvPr>
          <xdr:cNvGrpSpPr>
            <a:grpSpLocks/>
          </xdr:cNvGrpSpPr>
        </xdr:nvGrpSpPr>
        <xdr:grpSpPr bwMode="auto">
          <a:xfrm>
            <a:off x="4047" y="5379"/>
            <a:ext cx="515" cy="4096"/>
            <a:chOff x="4047" y="5379"/>
            <a:chExt cx="515" cy="4096"/>
          </a:xfrm>
        </xdr:grpSpPr>
        <xdr:sp macro="" textlink="">
          <xdr:nvSpPr>
            <xdr:cNvPr id="5501703" name="Arc 234">
              <a:extLst>
                <a:ext uri="{FF2B5EF4-FFF2-40B4-BE49-F238E27FC236}">
                  <a16:creationId xmlns:a16="http://schemas.microsoft.com/office/drawing/2014/main" id="{00000000-0008-0000-0700-000007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704" name="Group 235">
              <a:extLst>
                <a:ext uri="{FF2B5EF4-FFF2-40B4-BE49-F238E27FC236}">
                  <a16:creationId xmlns:a16="http://schemas.microsoft.com/office/drawing/2014/main" id="{00000000-0008-0000-0700-000008F35300}"/>
                </a:ext>
              </a:extLst>
            </xdr:cNvPr>
            <xdr:cNvGrpSpPr>
              <a:grpSpLocks/>
            </xdr:cNvGrpSpPr>
          </xdr:nvGrpSpPr>
          <xdr:grpSpPr bwMode="auto">
            <a:xfrm>
              <a:off x="4047" y="6306"/>
              <a:ext cx="285" cy="3169"/>
              <a:chOff x="4050" y="6306"/>
              <a:chExt cx="285" cy="3169"/>
            </a:xfrm>
          </xdr:grpSpPr>
          <xdr:sp macro="" textlink="">
            <xdr:nvSpPr>
              <xdr:cNvPr id="5501705" name="Line 236">
                <a:extLst>
                  <a:ext uri="{FF2B5EF4-FFF2-40B4-BE49-F238E27FC236}">
                    <a16:creationId xmlns:a16="http://schemas.microsoft.com/office/drawing/2014/main" id="{00000000-0008-0000-0700-000009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706" name="Line 237">
                <a:extLst>
                  <a:ext uri="{FF2B5EF4-FFF2-40B4-BE49-F238E27FC236}">
                    <a16:creationId xmlns:a16="http://schemas.microsoft.com/office/drawing/2014/main" id="{00000000-0008-0000-0700-00000A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07" name="Line 238">
                <a:extLst>
                  <a:ext uri="{FF2B5EF4-FFF2-40B4-BE49-F238E27FC236}">
                    <a16:creationId xmlns:a16="http://schemas.microsoft.com/office/drawing/2014/main" id="{00000000-0008-0000-0700-00000B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08" name="Line 239">
                <a:extLst>
                  <a:ext uri="{FF2B5EF4-FFF2-40B4-BE49-F238E27FC236}">
                    <a16:creationId xmlns:a16="http://schemas.microsoft.com/office/drawing/2014/main" id="{00000000-0008-0000-0700-00000C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09" name="Line 240">
                <a:extLst>
                  <a:ext uri="{FF2B5EF4-FFF2-40B4-BE49-F238E27FC236}">
                    <a16:creationId xmlns:a16="http://schemas.microsoft.com/office/drawing/2014/main" id="{00000000-0008-0000-0700-00000D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grpSp>
        <xdr:nvGrpSpPr>
          <xdr:cNvPr id="5501686" name="Group 241">
            <a:extLst>
              <a:ext uri="{FF2B5EF4-FFF2-40B4-BE49-F238E27FC236}">
                <a16:creationId xmlns:a16="http://schemas.microsoft.com/office/drawing/2014/main" id="{00000000-0008-0000-0700-0000F6F25300}"/>
              </a:ext>
            </a:extLst>
          </xdr:cNvPr>
          <xdr:cNvGrpSpPr>
            <a:grpSpLocks/>
          </xdr:cNvGrpSpPr>
        </xdr:nvGrpSpPr>
        <xdr:grpSpPr bwMode="auto">
          <a:xfrm flipH="1">
            <a:off x="4560" y="5379"/>
            <a:ext cx="515" cy="4096"/>
            <a:chOff x="4047" y="5379"/>
            <a:chExt cx="515" cy="4096"/>
          </a:xfrm>
        </xdr:grpSpPr>
        <xdr:sp macro="" textlink="">
          <xdr:nvSpPr>
            <xdr:cNvPr id="5501696" name="Arc 242">
              <a:extLst>
                <a:ext uri="{FF2B5EF4-FFF2-40B4-BE49-F238E27FC236}">
                  <a16:creationId xmlns:a16="http://schemas.microsoft.com/office/drawing/2014/main" id="{00000000-0008-0000-0700-000000F35300}"/>
                </a:ext>
              </a:extLst>
            </xdr:cNvPr>
            <xdr:cNvSpPr>
              <a:spLocks/>
            </xdr:cNvSpPr>
          </xdr:nvSpPr>
          <xdr:spPr bwMode="auto">
            <a:xfrm flipH="1">
              <a:off x="4201" y="5379"/>
              <a:ext cx="361" cy="964"/>
            </a:xfrm>
            <a:custGeom>
              <a:avLst/>
              <a:gdLst>
                <a:gd name="T0" fmla="*/ 0 w 21600"/>
                <a:gd name="T1" fmla="*/ 0 h 21600"/>
                <a:gd name="T2" fmla="*/ 0 w 21600"/>
                <a:gd name="T3" fmla="*/ 0 h 21600"/>
                <a:gd name="T4" fmla="*/ 0 w 21600"/>
                <a:gd name="T5" fmla="*/ 0 h 21600"/>
                <a:gd name="T6" fmla="*/ 0 60000 65536"/>
                <a:gd name="T7" fmla="*/ 0 60000 65536"/>
                <a:gd name="T8" fmla="*/ 0 60000 65536"/>
                <a:gd name="T9" fmla="*/ 0 w 21600"/>
                <a:gd name="T10" fmla="*/ 0 h 21600"/>
                <a:gd name="T11" fmla="*/ 21600 w 21600"/>
                <a:gd name="T12" fmla="*/ 21600 h 21600"/>
              </a:gdLst>
              <a:ahLst/>
              <a:cxnLst>
                <a:cxn ang="T6">
                  <a:pos x="T0" y="T1"/>
                </a:cxn>
                <a:cxn ang="T7">
                  <a:pos x="T2" y="T3"/>
                </a:cxn>
                <a:cxn ang="T8">
                  <a:pos x="T4" y="T5"/>
                </a:cxn>
              </a:cxnLst>
              <a:rect l="T9" t="T10" r="T11" b="T12"/>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lnTo>
                    <a:pt x="-1" y="0"/>
                  </a:lnTo>
                  <a:close/>
                </a:path>
              </a:pathLst>
            </a:custGeom>
            <a:noFill/>
            <a:ln w="9525">
              <a:solidFill>
                <a:srgbClr val="00B0F0"/>
              </a:solidFill>
              <a:round/>
              <a:headEnd/>
              <a:tailEnd/>
            </a:ln>
          </xdr:spPr>
        </xdr:sp>
        <xdr:grpSp>
          <xdr:nvGrpSpPr>
            <xdr:cNvPr id="5501697" name="Group 243">
              <a:extLst>
                <a:ext uri="{FF2B5EF4-FFF2-40B4-BE49-F238E27FC236}">
                  <a16:creationId xmlns:a16="http://schemas.microsoft.com/office/drawing/2014/main" id="{00000000-0008-0000-0700-000001F35300}"/>
                </a:ext>
              </a:extLst>
            </xdr:cNvPr>
            <xdr:cNvGrpSpPr>
              <a:grpSpLocks/>
            </xdr:cNvGrpSpPr>
          </xdr:nvGrpSpPr>
          <xdr:grpSpPr bwMode="auto">
            <a:xfrm>
              <a:off x="4047" y="6306"/>
              <a:ext cx="285" cy="3169"/>
              <a:chOff x="4050" y="6306"/>
              <a:chExt cx="285" cy="3169"/>
            </a:xfrm>
          </xdr:grpSpPr>
          <xdr:sp macro="" textlink="">
            <xdr:nvSpPr>
              <xdr:cNvPr id="5501698" name="Line 244">
                <a:extLst>
                  <a:ext uri="{FF2B5EF4-FFF2-40B4-BE49-F238E27FC236}">
                    <a16:creationId xmlns:a16="http://schemas.microsoft.com/office/drawing/2014/main" id="{00000000-0008-0000-0700-000002F35300}"/>
                  </a:ext>
                </a:extLst>
              </xdr:cNvPr>
              <xdr:cNvSpPr>
                <a:spLocks noChangeShapeType="1"/>
              </xdr:cNvSpPr>
            </xdr:nvSpPr>
            <xdr:spPr bwMode="auto">
              <a:xfrm flipH="1">
                <a:off x="4202" y="6306"/>
                <a:ext cx="0" cy="936"/>
              </a:xfrm>
              <a:prstGeom prst="line">
                <a:avLst/>
              </a:prstGeom>
              <a:noFill/>
              <a:ln w="9525">
                <a:solidFill>
                  <a:srgbClr val="00B0F0"/>
                </a:solidFill>
                <a:round/>
                <a:headEnd/>
                <a:tailEnd/>
              </a:ln>
            </xdr:spPr>
          </xdr:sp>
          <xdr:sp macro="" textlink="">
            <xdr:nvSpPr>
              <xdr:cNvPr id="5501699" name="Line 245">
                <a:extLst>
                  <a:ext uri="{FF2B5EF4-FFF2-40B4-BE49-F238E27FC236}">
                    <a16:creationId xmlns:a16="http://schemas.microsoft.com/office/drawing/2014/main" id="{00000000-0008-0000-0700-000003F35300}"/>
                  </a:ext>
                </a:extLst>
              </xdr:cNvPr>
              <xdr:cNvSpPr>
                <a:spLocks noChangeShapeType="1"/>
              </xdr:cNvSpPr>
            </xdr:nvSpPr>
            <xdr:spPr bwMode="auto">
              <a:xfrm flipH="1">
                <a:off x="4050" y="7242"/>
                <a:ext cx="152" cy="254"/>
              </a:xfrm>
              <a:prstGeom prst="line">
                <a:avLst/>
              </a:prstGeom>
              <a:noFill/>
              <a:ln w="9525">
                <a:solidFill>
                  <a:srgbClr val="00B0F0"/>
                </a:solidFill>
                <a:round/>
                <a:headEnd/>
                <a:tailEnd/>
              </a:ln>
            </xdr:spPr>
          </xdr:sp>
          <xdr:sp macro="" textlink="">
            <xdr:nvSpPr>
              <xdr:cNvPr id="5501700" name="Line 246">
                <a:extLst>
                  <a:ext uri="{FF2B5EF4-FFF2-40B4-BE49-F238E27FC236}">
                    <a16:creationId xmlns:a16="http://schemas.microsoft.com/office/drawing/2014/main" id="{00000000-0008-0000-0700-000004F35300}"/>
                  </a:ext>
                </a:extLst>
              </xdr:cNvPr>
              <xdr:cNvSpPr>
                <a:spLocks noChangeShapeType="1"/>
              </xdr:cNvSpPr>
            </xdr:nvSpPr>
            <xdr:spPr bwMode="auto">
              <a:xfrm>
                <a:off x="4050" y="7496"/>
                <a:ext cx="0" cy="642"/>
              </a:xfrm>
              <a:prstGeom prst="line">
                <a:avLst/>
              </a:prstGeom>
              <a:noFill/>
              <a:ln w="9525">
                <a:solidFill>
                  <a:srgbClr val="00B0F0"/>
                </a:solidFill>
                <a:round/>
                <a:headEnd/>
                <a:tailEnd/>
              </a:ln>
            </xdr:spPr>
          </xdr:sp>
          <xdr:sp macro="" textlink="">
            <xdr:nvSpPr>
              <xdr:cNvPr id="5501701" name="Line 247">
                <a:extLst>
                  <a:ext uri="{FF2B5EF4-FFF2-40B4-BE49-F238E27FC236}">
                    <a16:creationId xmlns:a16="http://schemas.microsoft.com/office/drawing/2014/main" id="{00000000-0008-0000-0700-000005F35300}"/>
                  </a:ext>
                </a:extLst>
              </xdr:cNvPr>
              <xdr:cNvSpPr>
                <a:spLocks noChangeShapeType="1"/>
              </xdr:cNvSpPr>
            </xdr:nvSpPr>
            <xdr:spPr bwMode="auto">
              <a:xfrm>
                <a:off x="4050" y="8138"/>
                <a:ext cx="285" cy="367"/>
              </a:xfrm>
              <a:prstGeom prst="line">
                <a:avLst/>
              </a:prstGeom>
              <a:noFill/>
              <a:ln w="9525">
                <a:solidFill>
                  <a:srgbClr val="00B0F0"/>
                </a:solidFill>
                <a:round/>
                <a:headEnd/>
                <a:tailEnd/>
              </a:ln>
            </xdr:spPr>
          </xdr:sp>
          <xdr:sp macro="" textlink="">
            <xdr:nvSpPr>
              <xdr:cNvPr id="5501702" name="Line 248">
                <a:extLst>
                  <a:ext uri="{FF2B5EF4-FFF2-40B4-BE49-F238E27FC236}">
                    <a16:creationId xmlns:a16="http://schemas.microsoft.com/office/drawing/2014/main" id="{00000000-0008-0000-0700-000006F35300}"/>
                  </a:ext>
                </a:extLst>
              </xdr:cNvPr>
              <xdr:cNvSpPr>
                <a:spLocks noChangeShapeType="1"/>
              </xdr:cNvSpPr>
            </xdr:nvSpPr>
            <xdr:spPr bwMode="auto">
              <a:xfrm>
                <a:off x="4335" y="8505"/>
                <a:ext cx="0" cy="970"/>
              </a:xfrm>
              <a:prstGeom prst="line">
                <a:avLst/>
              </a:prstGeom>
              <a:noFill/>
              <a:ln w="9525">
                <a:solidFill>
                  <a:srgbClr val="00B0F0"/>
                </a:solidFill>
                <a:round/>
                <a:headEnd/>
                <a:tailEnd/>
              </a:ln>
            </xdr:spPr>
          </xdr:sp>
        </xdr:grpSp>
      </xdr:grpSp>
      <xdr:sp macro="" textlink="">
        <xdr:nvSpPr>
          <xdr:cNvPr id="5501687" name="Line 249">
            <a:extLst>
              <a:ext uri="{FF2B5EF4-FFF2-40B4-BE49-F238E27FC236}">
                <a16:creationId xmlns:a16="http://schemas.microsoft.com/office/drawing/2014/main" id="{00000000-0008-0000-0700-0000F7F25300}"/>
              </a:ext>
            </a:extLst>
          </xdr:cNvPr>
          <xdr:cNvSpPr>
            <a:spLocks noChangeShapeType="1"/>
          </xdr:cNvSpPr>
        </xdr:nvSpPr>
        <xdr:spPr bwMode="auto">
          <a:xfrm>
            <a:off x="4332" y="9310"/>
            <a:ext cx="2" cy="1319"/>
          </a:xfrm>
          <a:prstGeom prst="line">
            <a:avLst/>
          </a:prstGeom>
          <a:noFill/>
          <a:ln w="9525">
            <a:solidFill>
              <a:srgbClr val="00B0F0"/>
            </a:solidFill>
            <a:round/>
            <a:headEnd/>
            <a:tailEnd/>
          </a:ln>
        </xdr:spPr>
      </xdr:sp>
      <xdr:sp macro="" textlink="">
        <xdr:nvSpPr>
          <xdr:cNvPr id="5501688" name="Line 250">
            <a:extLst>
              <a:ext uri="{FF2B5EF4-FFF2-40B4-BE49-F238E27FC236}">
                <a16:creationId xmlns:a16="http://schemas.microsoft.com/office/drawing/2014/main" id="{00000000-0008-0000-0700-0000F8F25300}"/>
              </a:ext>
            </a:extLst>
          </xdr:cNvPr>
          <xdr:cNvSpPr>
            <a:spLocks noChangeShapeType="1"/>
          </xdr:cNvSpPr>
        </xdr:nvSpPr>
        <xdr:spPr bwMode="auto">
          <a:xfrm>
            <a:off x="4790" y="9310"/>
            <a:ext cx="0" cy="1319"/>
          </a:xfrm>
          <a:prstGeom prst="line">
            <a:avLst/>
          </a:prstGeom>
          <a:noFill/>
          <a:ln w="9525">
            <a:solidFill>
              <a:srgbClr val="00B0F0"/>
            </a:solidFill>
            <a:round/>
            <a:headEnd/>
            <a:tailEnd/>
          </a:ln>
        </xdr:spPr>
      </xdr:sp>
      <xdr:sp macro="" textlink="">
        <xdr:nvSpPr>
          <xdr:cNvPr id="5501689" name="Line 251">
            <a:extLst>
              <a:ext uri="{FF2B5EF4-FFF2-40B4-BE49-F238E27FC236}">
                <a16:creationId xmlns:a16="http://schemas.microsoft.com/office/drawing/2014/main" id="{00000000-0008-0000-0700-0000F9F25300}"/>
              </a:ext>
            </a:extLst>
          </xdr:cNvPr>
          <xdr:cNvSpPr>
            <a:spLocks noChangeShapeType="1"/>
          </xdr:cNvSpPr>
        </xdr:nvSpPr>
        <xdr:spPr bwMode="auto">
          <a:xfrm>
            <a:off x="4330" y="10629"/>
            <a:ext cx="458" cy="0"/>
          </a:xfrm>
          <a:prstGeom prst="line">
            <a:avLst/>
          </a:prstGeom>
          <a:noFill/>
          <a:ln w="9525">
            <a:solidFill>
              <a:srgbClr val="00B0F0"/>
            </a:solidFill>
            <a:round/>
            <a:headEnd/>
            <a:tailEnd/>
          </a:ln>
        </xdr:spPr>
      </xdr:sp>
      <xdr:sp macro="" textlink="">
        <xdr:nvSpPr>
          <xdr:cNvPr id="5501690" name="Line 252">
            <a:extLst>
              <a:ext uri="{FF2B5EF4-FFF2-40B4-BE49-F238E27FC236}">
                <a16:creationId xmlns:a16="http://schemas.microsoft.com/office/drawing/2014/main" id="{00000000-0008-0000-0700-0000FAF25300}"/>
              </a:ext>
            </a:extLst>
          </xdr:cNvPr>
          <xdr:cNvSpPr>
            <a:spLocks noChangeShapeType="1"/>
          </xdr:cNvSpPr>
        </xdr:nvSpPr>
        <xdr:spPr bwMode="auto">
          <a:xfrm flipV="1">
            <a:off x="5709" y="10163"/>
            <a:ext cx="1" cy="946"/>
          </a:xfrm>
          <a:prstGeom prst="line">
            <a:avLst/>
          </a:prstGeom>
          <a:noFill/>
          <a:ln w="9525">
            <a:solidFill>
              <a:srgbClr val="00B0F0"/>
            </a:solidFill>
            <a:round/>
            <a:headEnd/>
            <a:tailEnd/>
          </a:ln>
        </xdr:spPr>
      </xdr:sp>
      <xdr:sp macro="" textlink="">
        <xdr:nvSpPr>
          <xdr:cNvPr id="5501691" name="Line 253">
            <a:extLst>
              <a:ext uri="{FF2B5EF4-FFF2-40B4-BE49-F238E27FC236}">
                <a16:creationId xmlns:a16="http://schemas.microsoft.com/office/drawing/2014/main" id="{00000000-0008-0000-0700-0000FBF25300}"/>
              </a:ext>
            </a:extLst>
          </xdr:cNvPr>
          <xdr:cNvSpPr>
            <a:spLocks noChangeShapeType="1"/>
          </xdr:cNvSpPr>
        </xdr:nvSpPr>
        <xdr:spPr bwMode="auto">
          <a:xfrm>
            <a:off x="4796" y="10419"/>
            <a:ext cx="909" cy="712"/>
          </a:xfrm>
          <a:prstGeom prst="line">
            <a:avLst/>
          </a:prstGeom>
          <a:noFill/>
          <a:ln w="9525">
            <a:solidFill>
              <a:srgbClr val="00B0F0"/>
            </a:solidFill>
            <a:round/>
            <a:headEnd/>
            <a:tailEnd/>
          </a:ln>
        </xdr:spPr>
      </xdr:sp>
      <xdr:sp macro="" textlink="">
        <xdr:nvSpPr>
          <xdr:cNvPr id="5501692" name="Line 254">
            <a:extLst>
              <a:ext uri="{FF2B5EF4-FFF2-40B4-BE49-F238E27FC236}">
                <a16:creationId xmlns:a16="http://schemas.microsoft.com/office/drawing/2014/main" id="{00000000-0008-0000-0700-0000FCF25300}"/>
              </a:ext>
            </a:extLst>
          </xdr:cNvPr>
          <xdr:cNvSpPr>
            <a:spLocks noChangeShapeType="1"/>
          </xdr:cNvSpPr>
        </xdr:nvSpPr>
        <xdr:spPr bwMode="auto">
          <a:xfrm flipH="1" flipV="1">
            <a:off x="4804" y="8797"/>
            <a:ext cx="905" cy="1372"/>
          </a:xfrm>
          <a:prstGeom prst="line">
            <a:avLst/>
          </a:prstGeom>
          <a:noFill/>
          <a:ln w="9525">
            <a:solidFill>
              <a:srgbClr val="00B0F0"/>
            </a:solidFill>
            <a:round/>
            <a:headEnd/>
            <a:tailEnd/>
          </a:ln>
        </xdr:spPr>
      </xdr:sp>
      <xdr:sp macro="" textlink="">
        <xdr:nvSpPr>
          <xdr:cNvPr id="5501693" name="Line 255">
            <a:extLst>
              <a:ext uri="{FF2B5EF4-FFF2-40B4-BE49-F238E27FC236}">
                <a16:creationId xmlns:a16="http://schemas.microsoft.com/office/drawing/2014/main" id="{00000000-0008-0000-0700-0000FDF25300}"/>
              </a:ext>
            </a:extLst>
          </xdr:cNvPr>
          <xdr:cNvSpPr>
            <a:spLocks noChangeShapeType="1"/>
          </xdr:cNvSpPr>
        </xdr:nvSpPr>
        <xdr:spPr bwMode="auto">
          <a:xfrm flipH="1" flipV="1">
            <a:off x="3421" y="10178"/>
            <a:ext cx="1" cy="946"/>
          </a:xfrm>
          <a:prstGeom prst="line">
            <a:avLst/>
          </a:prstGeom>
          <a:noFill/>
          <a:ln w="9525">
            <a:solidFill>
              <a:srgbClr val="00B0F0"/>
            </a:solidFill>
            <a:round/>
            <a:headEnd/>
            <a:tailEnd/>
          </a:ln>
        </xdr:spPr>
      </xdr:sp>
      <xdr:sp macro="" textlink="">
        <xdr:nvSpPr>
          <xdr:cNvPr id="5501694" name="Line 256">
            <a:extLst>
              <a:ext uri="{FF2B5EF4-FFF2-40B4-BE49-F238E27FC236}">
                <a16:creationId xmlns:a16="http://schemas.microsoft.com/office/drawing/2014/main" id="{00000000-0008-0000-0700-0000FEF25300}"/>
              </a:ext>
            </a:extLst>
          </xdr:cNvPr>
          <xdr:cNvSpPr>
            <a:spLocks noChangeShapeType="1"/>
          </xdr:cNvSpPr>
        </xdr:nvSpPr>
        <xdr:spPr bwMode="auto">
          <a:xfrm flipH="1">
            <a:off x="3421" y="10426"/>
            <a:ext cx="909" cy="712"/>
          </a:xfrm>
          <a:prstGeom prst="line">
            <a:avLst/>
          </a:prstGeom>
          <a:noFill/>
          <a:ln w="9525">
            <a:solidFill>
              <a:srgbClr val="00B0F0"/>
            </a:solidFill>
            <a:round/>
            <a:headEnd/>
            <a:tailEnd/>
          </a:ln>
        </xdr:spPr>
      </xdr:sp>
      <xdr:sp macro="" textlink="">
        <xdr:nvSpPr>
          <xdr:cNvPr id="5501695" name="Line 257">
            <a:extLst>
              <a:ext uri="{FF2B5EF4-FFF2-40B4-BE49-F238E27FC236}">
                <a16:creationId xmlns:a16="http://schemas.microsoft.com/office/drawing/2014/main" id="{00000000-0008-0000-0700-0000FFF25300}"/>
              </a:ext>
            </a:extLst>
          </xdr:cNvPr>
          <xdr:cNvSpPr>
            <a:spLocks noChangeShapeType="1"/>
          </xdr:cNvSpPr>
        </xdr:nvSpPr>
        <xdr:spPr bwMode="auto">
          <a:xfrm flipV="1">
            <a:off x="3429" y="8804"/>
            <a:ext cx="905" cy="1372"/>
          </a:xfrm>
          <a:prstGeom prst="line">
            <a:avLst/>
          </a:prstGeom>
          <a:noFill/>
          <a:ln w="9525">
            <a:solidFill>
              <a:srgbClr val="00B0F0"/>
            </a:solidFill>
            <a:round/>
            <a:headEnd/>
            <a:tailEnd/>
          </a:ln>
        </xdr:spPr>
      </xdr:sp>
    </xdr:grpSp>
    <xdr:clientData/>
  </xdr:twoCellAnchor>
  <xdr:twoCellAnchor>
    <xdr:from>
      <xdr:col>17</xdr:col>
      <xdr:colOff>831850</xdr:colOff>
      <xdr:row>11</xdr:row>
      <xdr:rowOff>101600</xdr:rowOff>
    </xdr:from>
    <xdr:to>
      <xdr:col>18</xdr:col>
      <xdr:colOff>368300</xdr:colOff>
      <xdr:row>11</xdr:row>
      <xdr:rowOff>101600</xdr:rowOff>
    </xdr:to>
    <xdr:sp macro="" textlink="">
      <xdr:nvSpPr>
        <xdr:cNvPr id="5501647" name="Line 268">
          <a:extLst>
            <a:ext uri="{FF2B5EF4-FFF2-40B4-BE49-F238E27FC236}">
              <a16:creationId xmlns:a16="http://schemas.microsoft.com/office/drawing/2014/main" id="{00000000-0008-0000-0700-0000CFF25300}"/>
            </a:ext>
          </a:extLst>
        </xdr:cNvPr>
        <xdr:cNvSpPr>
          <a:spLocks noChangeShapeType="1"/>
        </xdr:cNvSpPr>
      </xdr:nvSpPr>
      <xdr:spPr bwMode="auto">
        <a:xfrm flipV="1">
          <a:off x="14408150" y="2032000"/>
          <a:ext cx="673100" cy="0"/>
        </a:xfrm>
        <a:prstGeom prst="line">
          <a:avLst/>
        </a:prstGeom>
        <a:noFill/>
        <a:ln w="6350">
          <a:solidFill>
            <a:srgbClr val="000000"/>
          </a:solidFill>
          <a:round/>
          <a:headEnd type="triangle" w="sm" len="lg"/>
          <a:tailEnd type="triangle" w="sm" len="lg"/>
        </a:ln>
      </xdr:spPr>
    </xdr:sp>
    <xdr:clientData/>
  </xdr:twoCellAnchor>
  <xdr:twoCellAnchor>
    <xdr:from>
      <xdr:col>17</xdr:col>
      <xdr:colOff>88900</xdr:colOff>
      <xdr:row>1</xdr:row>
      <xdr:rowOff>12700</xdr:rowOff>
    </xdr:from>
    <xdr:to>
      <xdr:col>19</xdr:col>
      <xdr:colOff>336550</xdr:colOff>
      <xdr:row>1</xdr:row>
      <xdr:rowOff>12700</xdr:rowOff>
    </xdr:to>
    <xdr:sp macro="" textlink="">
      <xdr:nvSpPr>
        <xdr:cNvPr id="5501648" name="Line 269">
          <a:extLst>
            <a:ext uri="{FF2B5EF4-FFF2-40B4-BE49-F238E27FC236}">
              <a16:creationId xmlns:a16="http://schemas.microsoft.com/office/drawing/2014/main" id="{00000000-0008-0000-0700-0000D0F25300}"/>
            </a:ext>
          </a:extLst>
        </xdr:cNvPr>
        <xdr:cNvSpPr>
          <a:spLocks noChangeShapeType="1"/>
        </xdr:cNvSpPr>
      </xdr:nvSpPr>
      <xdr:spPr bwMode="auto">
        <a:xfrm flipV="1">
          <a:off x="13665200" y="184150"/>
          <a:ext cx="2520950" cy="0"/>
        </a:xfrm>
        <a:prstGeom prst="line">
          <a:avLst/>
        </a:prstGeom>
        <a:noFill/>
        <a:ln w="6350">
          <a:solidFill>
            <a:srgbClr val="000000"/>
          </a:solidFill>
          <a:round/>
          <a:headEnd/>
          <a:tailEnd/>
        </a:ln>
      </xdr:spPr>
    </xdr:sp>
    <xdr:clientData/>
  </xdr:twoCellAnchor>
  <xdr:twoCellAnchor>
    <xdr:from>
      <xdr:col>18</xdr:col>
      <xdr:colOff>1054100</xdr:colOff>
      <xdr:row>1</xdr:row>
      <xdr:rowOff>12700</xdr:rowOff>
    </xdr:from>
    <xdr:to>
      <xdr:col>18</xdr:col>
      <xdr:colOff>1054100</xdr:colOff>
      <xdr:row>28</xdr:row>
      <xdr:rowOff>139700</xdr:rowOff>
    </xdr:to>
    <xdr:sp macro="" textlink="">
      <xdr:nvSpPr>
        <xdr:cNvPr id="5501649" name="Line 270">
          <a:extLst>
            <a:ext uri="{FF2B5EF4-FFF2-40B4-BE49-F238E27FC236}">
              <a16:creationId xmlns:a16="http://schemas.microsoft.com/office/drawing/2014/main" id="{00000000-0008-0000-0700-0000D1F25300}"/>
            </a:ext>
          </a:extLst>
        </xdr:cNvPr>
        <xdr:cNvSpPr>
          <a:spLocks noChangeShapeType="1"/>
        </xdr:cNvSpPr>
      </xdr:nvSpPr>
      <xdr:spPr bwMode="auto">
        <a:xfrm>
          <a:off x="15767050" y="184150"/>
          <a:ext cx="0" cy="4705350"/>
        </a:xfrm>
        <a:prstGeom prst="line">
          <a:avLst/>
        </a:prstGeom>
        <a:noFill/>
        <a:ln w="6350">
          <a:solidFill>
            <a:srgbClr val="000000"/>
          </a:solidFill>
          <a:round/>
          <a:headEnd type="triangle" w="sm" len="lg"/>
          <a:tailEnd type="triangle" w="sm" len="lg"/>
        </a:ln>
      </xdr:spPr>
    </xdr:sp>
    <xdr:clientData/>
  </xdr:twoCellAnchor>
  <xdr:twoCellAnchor>
    <xdr:from>
      <xdr:col>17</xdr:col>
      <xdr:colOff>120650</xdr:colOff>
      <xdr:row>10</xdr:row>
      <xdr:rowOff>152400</xdr:rowOff>
    </xdr:from>
    <xdr:to>
      <xdr:col>18</xdr:col>
      <xdr:colOff>412750</xdr:colOff>
      <xdr:row>10</xdr:row>
      <xdr:rowOff>152400</xdr:rowOff>
    </xdr:to>
    <xdr:sp macro="" textlink="">
      <xdr:nvSpPr>
        <xdr:cNvPr id="5501650" name="Line 271">
          <a:extLst>
            <a:ext uri="{FF2B5EF4-FFF2-40B4-BE49-F238E27FC236}">
              <a16:creationId xmlns:a16="http://schemas.microsoft.com/office/drawing/2014/main" id="{00000000-0008-0000-0700-0000D2F25300}"/>
            </a:ext>
          </a:extLst>
        </xdr:cNvPr>
        <xdr:cNvSpPr>
          <a:spLocks noChangeShapeType="1"/>
        </xdr:cNvSpPr>
      </xdr:nvSpPr>
      <xdr:spPr bwMode="auto">
        <a:xfrm>
          <a:off x="13696950" y="1911350"/>
          <a:ext cx="1428750" cy="0"/>
        </a:xfrm>
        <a:prstGeom prst="line">
          <a:avLst/>
        </a:prstGeom>
        <a:noFill/>
        <a:ln w="6350">
          <a:solidFill>
            <a:srgbClr val="000000"/>
          </a:solidFill>
          <a:round/>
          <a:headEnd/>
          <a:tailEnd/>
        </a:ln>
      </xdr:spPr>
    </xdr:sp>
    <xdr:clientData/>
  </xdr:twoCellAnchor>
  <xdr:twoCellAnchor>
    <xdr:from>
      <xdr:col>17</xdr:col>
      <xdr:colOff>152400</xdr:colOff>
      <xdr:row>0</xdr:row>
      <xdr:rowOff>158750</xdr:rowOff>
    </xdr:from>
    <xdr:to>
      <xdr:col>17</xdr:col>
      <xdr:colOff>152400</xdr:colOff>
      <xdr:row>10</xdr:row>
      <xdr:rowOff>139700</xdr:rowOff>
    </xdr:to>
    <xdr:sp macro="" textlink="">
      <xdr:nvSpPr>
        <xdr:cNvPr id="5501651" name="Line 272">
          <a:extLst>
            <a:ext uri="{FF2B5EF4-FFF2-40B4-BE49-F238E27FC236}">
              <a16:creationId xmlns:a16="http://schemas.microsoft.com/office/drawing/2014/main" id="{00000000-0008-0000-0700-0000D3F25300}"/>
            </a:ext>
          </a:extLst>
        </xdr:cNvPr>
        <xdr:cNvSpPr>
          <a:spLocks noChangeShapeType="1"/>
        </xdr:cNvSpPr>
      </xdr:nvSpPr>
      <xdr:spPr bwMode="auto">
        <a:xfrm flipH="1">
          <a:off x="13728700" y="158750"/>
          <a:ext cx="0" cy="1739900"/>
        </a:xfrm>
        <a:prstGeom prst="line">
          <a:avLst/>
        </a:prstGeom>
        <a:noFill/>
        <a:ln w="6350">
          <a:solidFill>
            <a:srgbClr val="000000"/>
          </a:solidFill>
          <a:round/>
          <a:headEnd type="triangle" w="sm" len="lg"/>
          <a:tailEnd type="triangle" w="sm" len="lg"/>
        </a:ln>
      </xdr:spPr>
    </xdr:sp>
    <xdr:clientData/>
  </xdr:twoCellAnchor>
  <xdr:twoCellAnchor>
    <xdr:from>
      <xdr:col>16</xdr:col>
      <xdr:colOff>234950</xdr:colOff>
      <xdr:row>31</xdr:row>
      <xdr:rowOff>95250</xdr:rowOff>
    </xdr:from>
    <xdr:to>
      <xdr:col>17</xdr:col>
      <xdr:colOff>82550</xdr:colOff>
      <xdr:row>31</xdr:row>
      <xdr:rowOff>95250</xdr:rowOff>
    </xdr:to>
    <xdr:sp macro="" textlink="">
      <xdr:nvSpPr>
        <xdr:cNvPr id="5501652" name="Line 277">
          <a:extLst>
            <a:ext uri="{FF2B5EF4-FFF2-40B4-BE49-F238E27FC236}">
              <a16:creationId xmlns:a16="http://schemas.microsoft.com/office/drawing/2014/main" id="{00000000-0008-0000-0700-0000D4F25300}"/>
            </a:ext>
          </a:extLst>
        </xdr:cNvPr>
        <xdr:cNvSpPr>
          <a:spLocks noChangeShapeType="1"/>
        </xdr:cNvSpPr>
      </xdr:nvSpPr>
      <xdr:spPr bwMode="auto">
        <a:xfrm>
          <a:off x="12998450" y="5359400"/>
          <a:ext cx="660400" cy="0"/>
        </a:xfrm>
        <a:prstGeom prst="line">
          <a:avLst/>
        </a:prstGeom>
        <a:noFill/>
        <a:ln w="6350">
          <a:solidFill>
            <a:srgbClr val="000000"/>
          </a:solidFill>
          <a:round/>
          <a:headEnd/>
          <a:tailEnd/>
        </a:ln>
      </xdr:spPr>
    </xdr:sp>
    <xdr:clientData/>
  </xdr:twoCellAnchor>
  <xdr:twoCellAnchor>
    <xdr:from>
      <xdr:col>18</xdr:col>
      <xdr:colOff>196850</xdr:colOff>
      <xdr:row>29</xdr:row>
      <xdr:rowOff>88900</xdr:rowOff>
    </xdr:from>
    <xdr:to>
      <xdr:col>18</xdr:col>
      <xdr:colOff>1035050</xdr:colOff>
      <xdr:row>29</xdr:row>
      <xdr:rowOff>88900</xdr:rowOff>
    </xdr:to>
    <xdr:sp macro="" textlink="">
      <xdr:nvSpPr>
        <xdr:cNvPr id="5501653" name="Line 280">
          <a:extLst>
            <a:ext uri="{FF2B5EF4-FFF2-40B4-BE49-F238E27FC236}">
              <a16:creationId xmlns:a16="http://schemas.microsoft.com/office/drawing/2014/main" id="{00000000-0008-0000-0700-0000D5F25300}"/>
            </a:ext>
          </a:extLst>
        </xdr:cNvPr>
        <xdr:cNvSpPr>
          <a:spLocks noChangeShapeType="1"/>
        </xdr:cNvSpPr>
      </xdr:nvSpPr>
      <xdr:spPr bwMode="auto">
        <a:xfrm>
          <a:off x="14909800" y="5010150"/>
          <a:ext cx="838200" cy="0"/>
        </a:xfrm>
        <a:prstGeom prst="line">
          <a:avLst/>
        </a:prstGeom>
        <a:noFill/>
        <a:ln w="6350">
          <a:solidFill>
            <a:srgbClr val="000000"/>
          </a:solidFill>
          <a:round/>
          <a:headEnd/>
          <a:tailEnd/>
        </a:ln>
      </xdr:spPr>
    </xdr:sp>
    <xdr:clientData/>
  </xdr:twoCellAnchor>
  <xdr:twoCellAnchor>
    <xdr:from>
      <xdr:col>17</xdr:col>
      <xdr:colOff>508000</xdr:colOff>
      <xdr:row>20</xdr:row>
      <xdr:rowOff>0</xdr:rowOff>
    </xdr:from>
    <xdr:to>
      <xdr:col>17</xdr:col>
      <xdr:colOff>508000</xdr:colOff>
      <xdr:row>28</xdr:row>
      <xdr:rowOff>127000</xdr:rowOff>
    </xdr:to>
    <xdr:sp macro="" textlink="">
      <xdr:nvSpPr>
        <xdr:cNvPr id="5501654" name="Line 281">
          <a:extLst>
            <a:ext uri="{FF2B5EF4-FFF2-40B4-BE49-F238E27FC236}">
              <a16:creationId xmlns:a16="http://schemas.microsoft.com/office/drawing/2014/main" id="{00000000-0008-0000-0700-0000D6F25300}"/>
            </a:ext>
          </a:extLst>
        </xdr:cNvPr>
        <xdr:cNvSpPr>
          <a:spLocks noChangeShapeType="1"/>
        </xdr:cNvSpPr>
      </xdr:nvSpPr>
      <xdr:spPr bwMode="auto">
        <a:xfrm flipH="1">
          <a:off x="14084300" y="3422650"/>
          <a:ext cx="0" cy="1454150"/>
        </a:xfrm>
        <a:prstGeom prst="line">
          <a:avLst/>
        </a:prstGeom>
        <a:noFill/>
        <a:ln w="6350">
          <a:solidFill>
            <a:srgbClr val="000000"/>
          </a:solidFill>
          <a:round/>
          <a:headEnd type="triangle" w="sm" len="lg"/>
          <a:tailEnd type="triangle" w="sm" len="lg"/>
        </a:ln>
      </xdr:spPr>
    </xdr:sp>
    <xdr:clientData/>
  </xdr:twoCellAnchor>
  <xdr:twoCellAnchor>
    <xdr:from>
      <xdr:col>16</xdr:col>
      <xdr:colOff>311150</xdr:colOff>
      <xdr:row>27</xdr:row>
      <xdr:rowOff>133350</xdr:rowOff>
    </xdr:from>
    <xdr:to>
      <xdr:col>16</xdr:col>
      <xdr:colOff>323850</xdr:colOff>
      <xdr:row>31</xdr:row>
      <xdr:rowOff>95250</xdr:rowOff>
    </xdr:to>
    <xdr:sp macro="" textlink="">
      <xdr:nvSpPr>
        <xdr:cNvPr id="5501655" name="Line 282">
          <a:extLst>
            <a:ext uri="{FF2B5EF4-FFF2-40B4-BE49-F238E27FC236}">
              <a16:creationId xmlns:a16="http://schemas.microsoft.com/office/drawing/2014/main" id="{00000000-0008-0000-0700-0000D7F25300}"/>
            </a:ext>
          </a:extLst>
        </xdr:cNvPr>
        <xdr:cNvSpPr>
          <a:spLocks noChangeShapeType="1"/>
        </xdr:cNvSpPr>
      </xdr:nvSpPr>
      <xdr:spPr bwMode="auto">
        <a:xfrm flipH="1">
          <a:off x="13074650" y="4711700"/>
          <a:ext cx="12700" cy="647700"/>
        </a:xfrm>
        <a:prstGeom prst="line">
          <a:avLst/>
        </a:prstGeom>
        <a:noFill/>
        <a:ln w="6350">
          <a:solidFill>
            <a:srgbClr val="000000"/>
          </a:solidFill>
          <a:round/>
          <a:headEnd type="triangle" w="sm" len="lg"/>
          <a:tailEnd type="triangle" w="sm" len="lg"/>
        </a:ln>
      </xdr:spPr>
    </xdr:sp>
    <xdr:clientData/>
  </xdr:twoCellAnchor>
  <xdr:twoCellAnchor>
    <xdr:from>
      <xdr:col>16</xdr:col>
      <xdr:colOff>730250</xdr:colOff>
      <xdr:row>20</xdr:row>
      <xdr:rowOff>0</xdr:rowOff>
    </xdr:from>
    <xdr:to>
      <xdr:col>16</xdr:col>
      <xdr:colOff>730250</xdr:colOff>
      <xdr:row>27</xdr:row>
      <xdr:rowOff>133350</xdr:rowOff>
    </xdr:to>
    <xdr:sp macro="" textlink="">
      <xdr:nvSpPr>
        <xdr:cNvPr id="5501656" name="Line 283">
          <a:extLst>
            <a:ext uri="{FF2B5EF4-FFF2-40B4-BE49-F238E27FC236}">
              <a16:creationId xmlns:a16="http://schemas.microsoft.com/office/drawing/2014/main" id="{00000000-0008-0000-0700-0000D8F25300}"/>
            </a:ext>
          </a:extLst>
        </xdr:cNvPr>
        <xdr:cNvSpPr>
          <a:spLocks noChangeShapeType="1"/>
        </xdr:cNvSpPr>
      </xdr:nvSpPr>
      <xdr:spPr bwMode="auto">
        <a:xfrm>
          <a:off x="13493750" y="3422650"/>
          <a:ext cx="0" cy="1289050"/>
        </a:xfrm>
        <a:prstGeom prst="line">
          <a:avLst/>
        </a:prstGeom>
        <a:noFill/>
        <a:ln w="6350">
          <a:solidFill>
            <a:srgbClr val="000000"/>
          </a:solidFill>
          <a:round/>
          <a:headEnd type="triangle" w="sm" len="lg"/>
          <a:tailEnd type="triangle" w="sm" len="lg"/>
        </a:ln>
      </xdr:spPr>
    </xdr:sp>
    <xdr:clientData/>
  </xdr:twoCellAnchor>
  <xdr:twoCellAnchor>
    <xdr:from>
      <xdr:col>17</xdr:col>
      <xdr:colOff>69850</xdr:colOff>
      <xdr:row>31</xdr:row>
      <xdr:rowOff>95250</xdr:rowOff>
    </xdr:from>
    <xdr:to>
      <xdr:col>17</xdr:col>
      <xdr:colOff>69850</xdr:colOff>
      <xdr:row>32</xdr:row>
      <xdr:rowOff>0</xdr:rowOff>
    </xdr:to>
    <xdr:sp macro="" textlink="">
      <xdr:nvSpPr>
        <xdr:cNvPr id="5501657" name="Line 284">
          <a:extLst>
            <a:ext uri="{FF2B5EF4-FFF2-40B4-BE49-F238E27FC236}">
              <a16:creationId xmlns:a16="http://schemas.microsoft.com/office/drawing/2014/main" id="{00000000-0008-0000-0700-0000D9F25300}"/>
            </a:ext>
          </a:extLst>
        </xdr:cNvPr>
        <xdr:cNvSpPr>
          <a:spLocks noChangeShapeType="1"/>
        </xdr:cNvSpPr>
      </xdr:nvSpPr>
      <xdr:spPr bwMode="auto">
        <a:xfrm flipV="1">
          <a:off x="13646150" y="5359400"/>
          <a:ext cx="0" cy="76200"/>
        </a:xfrm>
        <a:prstGeom prst="line">
          <a:avLst/>
        </a:prstGeom>
        <a:noFill/>
        <a:ln w="6350">
          <a:solidFill>
            <a:srgbClr val="000000"/>
          </a:solidFill>
          <a:round/>
          <a:headEnd/>
          <a:tailEnd/>
        </a:ln>
      </xdr:spPr>
    </xdr:sp>
    <xdr:clientData/>
  </xdr:twoCellAnchor>
  <xdr:twoCellAnchor>
    <xdr:from>
      <xdr:col>17</xdr:col>
      <xdr:colOff>946150</xdr:colOff>
      <xdr:row>29</xdr:row>
      <xdr:rowOff>88900</xdr:rowOff>
    </xdr:from>
    <xdr:to>
      <xdr:col>17</xdr:col>
      <xdr:colOff>946150</xdr:colOff>
      <xdr:row>31</xdr:row>
      <xdr:rowOff>158750</xdr:rowOff>
    </xdr:to>
    <xdr:sp macro="" textlink="">
      <xdr:nvSpPr>
        <xdr:cNvPr id="5501658" name="Line 285">
          <a:extLst>
            <a:ext uri="{FF2B5EF4-FFF2-40B4-BE49-F238E27FC236}">
              <a16:creationId xmlns:a16="http://schemas.microsoft.com/office/drawing/2014/main" id="{00000000-0008-0000-0700-0000DAF25300}"/>
            </a:ext>
          </a:extLst>
        </xdr:cNvPr>
        <xdr:cNvSpPr>
          <a:spLocks noChangeShapeType="1"/>
        </xdr:cNvSpPr>
      </xdr:nvSpPr>
      <xdr:spPr bwMode="auto">
        <a:xfrm flipH="1" flipV="1">
          <a:off x="14522450" y="5010150"/>
          <a:ext cx="0" cy="412750"/>
        </a:xfrm>
        <a:prstGeom prst="line">
          <a:avLst/>
        </a:prstGeom>
        <a:noFill/>
        <a:ln w="6350">
          <a:solidFill>
            <a:srgbClr val="000000"/>
          </a:solidFill>
          <a:round/>
          <a:headEnd/>
          <a:tailEnd/>
        </a:ln>
      </xdr:spPr>
    </xdr:sp>
    <xdr:clientData/>
  </xdr:twoCellAnchor>
  <xdr:twoCellAnchor>
    <xdr:from>
      <xdr:col>17</xdr:col>
      <xdr:colOff>88900</xdr:colOff>
      <xdr:row>31</xdr:row>
      <xdr:rowOff>127000</xdr:rowOff>
    </xdr:from>
    <xdr:to>
      <xdr:col>17</xdr:col>
      <xdr:colOff>958850</xdr:colOff>
      <xdr:row>31</xdr:row>
      <xdr:rowOff>127000</xdr:rowOff>
    </xdr:to>
    <xdr:sp macro="" textlink="">
      <xdr:nvSpPr>
        <xdr:cNvPr id="5501659" name="Line 286">
          <a:extLst>
            <a:ext uri="{FF2B5EF4-FFF2-40B4-BE49-F238E27FC236}">
              <a16:creationId xmlns:a16="http://schemas.microsoft.com/office/drawing/2014/main" id="{00000000-0008-0000-0700-0000DBF25300}"/>
            </a:ext>
          </a:extLst>
        </xdr:cNvPr>
        <xdr:cNvSpPr>
          <a:spLocks noChangeShapeType="1"/>
        </xdr:cNvSpPr>
      </xdr:nvSpPr>
      <xdr:spPr bwMode="auto">
        <a:xfrm flipV="1">
          <a:off x="13665200" y="5391150"/>
          <a:ext cx="869950" cy="0"/>
        </a:xfrm>
        <a:prstGeom prst="line">
          <a:avLst/>
        </a:prstGeom>
        <a:noFill/>
        <a:ln w="6350">
          <a:solidFill>
            <a:srgbClr val="000000"/>
          </a:solidFill>
          <a:round/>
          <a:headEnd type="triangle" w="sm" len="lg"/>
          <a:tailEnd type="triangle" w="sm" len="lg"/>
        </a:ln>
      </xdr:spPr>
    </xdr:sp>
    <xdr:clientData/>
  </xdr:twoCellAnchor>
  <xdr:twoCellAnchor>
    <xdr:from>
      <xdr:col>17</xdr:col>
      <xdr:colOff>666750</xdr:colOff>
      <xdr:row>16</xdr:row>
      <xdr:rowOff>57150</xdr:rowOff>
    </xdr:from>
    <xdr:to>
      <xdr:col>18</xdr:col>
      <xdr:colOff>514350</xdr:colOff>
      <xdr:row>16</xdr:row>
      <xdr:rowOff>57150</xdr:rowOff>
    </xdr:to>
    <xdr:sp macro="" textlink="">
      <xdr:nvSpPr>
        <xdr:cNvPr id="5501660" name="Line 287">
          <a:extLst>
            <a:ext uri="{FF2B5EF4-FFF2-40B4-BE49-F238E27FC236}">
              <a16:creationId xmlns:a16="http://schemas.microsoft.com/office/drawing/2014/main" id="{00000000-0008-0000-0700-0000DCF25300}"/>
            </a:ext>
          </a:extLst>
        </xdr:cNvPr>
        <xdr:cNvSpPr>
          <a:spLocks noChangeShapeType="1"/>
        </xdr:cNvSpPr>
      </xdr:nvSpPr>
      <xdr:spPr bwMode="auto">
        <a:xfrm flipV="1">
          <a:off x="14243050" y="2819400"/>
          <a:ext cx="984250" cy="0"/>
        </a:xfrm>
        <a:prstGeom prst="line">
          <a:avLst/>
        </a:prstGeom>
        <a:noFill/>
        <a:ln w="3175">
          <a:solidFill>
            <a:srgbClr val="92D050"/>
          </a:solidFill>
          <a:prstDash val="sysDot"/>
          <a:round/>
          <a:headEnd type="triangle" w="sm" len="sm"/>
          <a:tailEnd type="triangle" w="sm" len="sm"/>
        </a:ln>
      </xdr:spPr>
    </xdr:sp>
    <xdr:clientData/>
  </xdr:twoCellAnchor>
  <xdr:twoCellAnchor>
    <xdr:from>
      <xdr:col>17</xdr:col>
      <xdr:colOff>831850</xdr:colOff>
      <xdr:row>14</xdr:row>
      <xdr:rowOff>127000</xdr:rowOff>
    </xdr:from>
    <xdr:to>
      <xdr:col>19</xdr:col>
      <xdr:colOff>19050</xdr:colOff>
      <xdr:row>14</xdr:row>
      <xdr:rowOff>127000</xdr:rowOff>
    </xdr:to>
    <xdr:sp macro="" textlink="">
      <xdr:nvSpPr>
        <xdr:cNvPr id="5501661" name="Line 289">
          <a:extLst>
            <a:ext uri="{FF2B5EF4-FFF2-40B4-BE49-F238E27FC236}">
              <a16:creationId xmlns:a16="http://schemas.microsoft.com/office/drawing/2014/main" id="{00000000-0008-0000-0700-0000DDF25300}"/>
            </a:ext>
          </a:extLst>
        </xdr:cNvPr>
        <xdr:cNvSpPr>
          <a:spLocks noChangeShapeType="1"/>
        </xdr:cNvSpPr>
      </xdr:nvSpPr>
      <xdr:spPr bwMode="auto">
        <a:xfrm>
          <a:off x="14408150" y="2559050"/>
          <a:ext cx="1460500" cy="0"/>
        </a:xfrm>
        <a:prstGeom prst="line">
          <a:avLst/>
        </a:prstGeom>
        <a:noFill/>
        <a:ln w="6350">
          <a:solidFill>
            <a:srgbClr val="92D050"/>
          </a:solidFill>
          <a:round/>
          <a:headEnd/>
          <a:tailEnd/>
        </a:ln>
      </xdr:spPr>
    </xdr:sp>
    <xdr:clientData/>
  </xdr:twoCellAnchor>
  <xdr:twoCellAnchor>
    <xdr:from>
      <xdr:col>17</xdr:col>
      <xdr:colOff>679450</xdr:colOff>
      <xdr:row>15</xdr:row>
      <xdr:rowOff>127000</xdr:rowOff>
    </xdr:from>
    <xdr:to>
      <xdr:col>19</xdr:col>
      <xdr:colOff>44450</xdr:colOff>
      <xdr:row>15</xdr:row>
      <xdr:rowOff>127000</xdr:rowOff>
    </xdr:to>
    <xdr:sp macro="" textlink="">
      <xdr:nvSpPr>
        <xdr:cNvPr id="5501662" name="Line 290">
          <a:extLst>
            <a:ext uri="{FF2B5EF4-FFF2-40B4-BE49-F238E27FC236}">
              <a16:creationId xmlns:a16="http://schemas.microsoft.com/office/drawing/2014/main" id="{00000000-0008-0000-0700-0000DEF25300}"/>
            </a:ext>
          </a:extLst>
        </xdr:cNvPr>
        <xdr:cNvSpPr>
          <a:spLocks noChangeShapeType="1"/>
        </xdr:cNvSpPr>
      </xdr:nvSpPr>
      <xdr:spPr bwMode="auto">
        <a:xfrm>
          <a:off x="14255750" y="2724150"/>
          <a:ext cx="1638300" cy="0"/>
        </a:xfrm>
        <a:prstGeom prst="line">
          <a:avLst/>
        </a:prstGeom>
        <a:noFill/>
        <a:ln w="6350">
          <a:solidFill>
            <a:srgbClr val="92D050"/>
          </a:solidFill>
          <a:round/>
          <a:headEnd/>
          <a:tailEnd/>
        </a:ln>
      </xdr:spPr>
    </xdr:sp>
    <xdr:clientData/>
  </xdr:twoCellAnchor>
  <xdr:twoCellAnchor>
    <xdr:from>
      <xdr:col>17</xdr:col>
      <xdr:colOff>666750</xdr:colOff>
      <xdr:row>18</xdr:row>
      <xdr:rowOff>69850</xdr:rowOff>
    </xdr:from>
    <xdr:to>
      <xdr:col>19</xdr:col>
      <xdr:colOff>44450</xdr:colOff>
      <xdr:row>18</xdr:row>
      <xdr:rowOff>69850</xdr:rowOff>
    </xdr:to>
    <xdr:sp macro="" textlink="">
      <xdr:nvSpPr>
        <xdr:cNvPr id="5501663" name="Line 291">
          <a:extLst>
            <a:ext uri="{FF2B5EF4-FFF2-40B4-BE49-F238E27FC236}">
              <a16:creationId xmlns:a16="http://schemas.microsoft.com/office/drawing/2014/main" id="{00000000-0008-0000-0700-0000DFF25300}"/>
            </a:ext>
          </a:extLst>
        </xdr:cNvPr>
        <xdr:cNvSpPr>
          <a:spLocks noChangeShapeType="1"/>
        </xdr:cNvSpPr>
      </xdr:nvSpPr>
      <xdr:spPr bwMode="auto">
        <a:xfrm>
          <a:off x="14243050" y="3162300"/>
          <a:ext cx="1651000" cy="0"/>
        </a:xfrm>
        <a:prstGeom prst="line">
          <a:avLst/>
        </a:prstGeom>
        <a:noFill/>
        <a:ln w="6350">
          <a:solidFill>
            <a:srgbClr val="92D050"/>
          </a:solidFill>
          <a:round/>
          <a:headEnd/>
          <a:tailEnd/>
        </a:ln>
      </xdr:spPr>
    </xdr:sp>
    <xdr:clientData/>
  </xdr:twoCellAnchor>
  <xdr:twoCellAnchor>
    <xdr:from>
      <xdr:col>17</xdr:col>
      <xdr:colOff>946150</xdr:colOff>
      <xdr:row>19</xdr:row>
      <xdr:rowOff>139700</xdr:rowOff>
    </xdr:from>
    <xdr:to>
      <xdr:col>19</xdr:col>
      <xdr:colOff>12700</xdr:colOff>
      <xdr:row>19</xdr:row>
      <xdr:rowOff>139700</xdr:rowOff>
    </xdr:to>
    <xdr:sp macro="" textlink="">
      <xdr:nvSpPr>
        <xdr:cNvPr id="5501664" name="Line 292">
          <a:extLst>
            <a:ext uri="{FF2B5EF4-FFF2-40B4-BE49-F238E27FC236}">
              <a16:creationId xmlns:a16="http://schemas.microsoft.com/office/drawing/2014/main" id="{00000000-0008-0000-0700-0000E0F25300}"/>
            </a:ext>
          </a:extLst>
        </xdr:cNvPr>
        <xdr:cNvSpPr>
          <a:spLocks noChangeShapeType="1"/>
        </xdr:cNvSpPr>
      </xdr:nvSpPr>
      <xdr:spPr bwMode="auto">
        <a:xfrm>
          <a:off x="14522450" y="3397250"/>
          <a:ext cx="1339850" cy="0"/>
        </a:xfrm>
        <a:prstGeom prst="line">
          <a:avLst/>
        </a:prstGeom>
        <a:noFill/>
        <a:ln w="6350">
          <a:solidFill>
            <a:srgbClr val="92D050"/>
          </a:solidFill>
          <a:round/>
          <a:headEnd/>
          <a:tailEnd/>
        </a:ln>
      </xdr:spPr>
    </xdr:sp>
    <xdr:clientData/>
  </xdr:twoCellAnchor>
  <xdr:twoCellAnchor>
    <xdr:from>
      <xdr:col>17</xdr:col>
      <xdr:colOff>1136650</xdr:colOff>
      <xdr:row>1</xdr:row>
      <xdr:rowOff>0</xdr:rowOff>
    </xdr:from>
    <xdr:to>
      <xdr:col>18</xdr:col>
      <xdr:colOff>0</xdr:colOff>
      <xdr:row>14</xdr:row>
      <xdr:rowOff>127000</xdr:rowOff>
    </xdr:to>
    <xdr:sp macro="" textlink="">
      <xdr:nvSpPr>
        <xdr:cNvPr id="5501665" name="Line 293">
          <a:extLst>
            <a:ext uri="{FF2B5EF4-FFF2-40B4-BE49-F238E27FC236}">
              <a16:creationId xmlns:a16="http://schemas.microsoft.com/office/drawing/2014/main" id="{00000000-0008-0000-0700-0000E1F25300}"/>
            </a:ext>
          </a:extLst>
        </xdr:cNvPr>
        <xdr:cNvSpPr>
          <a:spLocks noChangeShapeType="1"/>
        </xdr:cNvSpPr>
      </xdr:nvSpPr>
      <xdr:spPr bwMode="auto">
        <a:xfrm flipH="1">
          <a:off x="14712950" y="171450"/>
          <a:ext cx="0" cy="2387600"/>
        </a:xfrm>
        <a:prstGeom prst="line">
          <a:avLst/>
        </a:prstGeom>
        <a:noFill/>
        <a:ln w="9525">
          <a:solidFill>
            <a:srgbClr val="92D050"/>
          </a:solidFill>
          <a:prstDash val="sysDot"/>
          <a:round/>
          <a:headEnd type="triangle" w="sm" len="sm"/>
          <a:tailEnd type="triangle" w="sm" len="sm"/>
        </a:ln>
      </xdr:spPr>
    </xdr:sp>
    <xdr:clientData/>
  </xdr:twoCellAnchor>
  <xdr:twoCellAnchor>
    <xdr:from>
      <xdr:col>18</xdr:col>
      <xdr:colOff>190500</xdr:colOff>
      <xdr:row>1</xdr:row>
      <xdr:rowOff>0</xdr:rowOff>
    </xdr:from>
    <xdr:to>
      <xdr:col>18</xdr:col>
      <xdr:colOff>190500</xdr:colOff>
      <xdr:row>18</xdr:row>
      <xdr:rowOff>69850</xdr:rowOff>
    </xdr:to>
    <xdr:sp macro="" textlink="">
      <xdr:nvSpPr>
        <xdr:cNvPr id="5501666" name="Line 294">
          <a:extLst>
            <a:ext uri="{FF2B5EF4-FFF2-40B4-BE49-F238E27FC236}">
              <a16:creationId xmlns:a16="http://schemas.microsoft.com/office/drawing/2014/main" id="{00000000-0008-0000-0700-0000E2F25300}"/>
            </a:ext>
          </a:extLst>
        </xdr:cNvPr>
        <xdr:cNvSpPr>
          <a:spLocks noChangeShapeType="1"/>
        </xdr:cNvSpPr>
      </xdr:nvSpPr>
      <xdr:spPr bwMode="auto">
        <a:xfrm>
          <a:off x="14903450" y="171450"/>
          <a:ext cx="0" cy="2990850"/>
        </a:xfrm>
        <a:prstGeom prst="line">
          <a:avLst/>
        </a:prstGeom>
        <a:noFill/>
        <a:ln w="9525">
          <a:solidFill>
            <a:srgbClr val="92D050"/>
          </a:solidFill>
          <a:prstDash val="sysDot"/>
          <a:round/>
          <a:headEnd type="triangle" w="sm" len="sm"/>
          <a:tailEnd type="triangle" w="sm" len="sm"/>
        </a:ln>
      </xdr:spPr>
    </xdr:sp>
    <xdr:clientData/>
  </xdr:twoCellAnchor>
  <xdr:twoCellAnchor>
    <xdr:from>
      <xdr:col>19</xdr:col>
      <xdr:colOff>19050</xdr:colOff>
      <xdr:row>14</xdr:row>
      <xdr:rowOff>127000</xdr:rowOff>
    </xdr:from>
    <xdr:to>
      <xdr:col>19</xdr:col>
      <xdr:colOff>19050</xdr:colOff>
      <xdr:row>15</xdr:row>
      <xdr:rowOff>127000</xdr:rowOff>
    </xdr:to>
    <xdr:sp macro="" textlink="">
      <xdr:nvSpPr>
        <xdr:cNvPr id="5501667" name="Line 295">
          <a:extLst>
            <a:ext uri="{FF2B5EF4-FFF2-40B4-BE49-F238E27FC236}">
              <a16:creationId xmlns:a16="http://schemas.microsoft.com/office/drawing/2014/main" id="{00000000-0008-0000-0700-0000E3F25300}"/>
            </a:ext>
          </a:extLst>
        </xdr:cNvPr>
        <xdr:cNvSpPr>
          <a:spLocks noChangeShapeType="1"/>
        </xdr:cNvSpPr>
      </xdr:nvSpPr>
      <xdr:spPr bwMode="auto">
        <a:xfrm>
          <a:off x="15868650" y="2559050"/>
          <a:ext cx="0" cy="165100"/>
        </a:xfrm>
        <a:prstGeom prst="line">
          <a:avLst/>
        </a:prstGeom>
        <a:noFill/>
        <a:ln w="3175">
          <a:solidFill>
            <a:srgbClr val="92D050"/>
          </a:solidFill>
          <a:prstDash val="sysDot"/>
          <a:round/>
          <a:headEnd type="triangle" w="sm" len="sm"/>
          <a:tailEnd type="triangle" w="sm" len="sm"/>
        </a:ln>
      </xdr:spPr>
    </xdr:sp>
    <xdr:clientData/>
  </xdr:twoCellAnchor>
  <xdr:twoCellAnchor>
    <xdr:from>
      <xdr:col>19</xdr:col>
      <xdr:colOff>12700</xdr:colOff>
      <xdr:row>18</xdr:row>
      <xdr:rowOff>69850</xdr:rowOff>
    </xdr:from>
    <xdr:to>
      <xdr:col>19</xdr:col>
      <xdr:colOff>12700</xdr:colOff>
      <xdr:row>19</xdr:row>
      <xdr:rowOff>139700</xdr:rowOff>
    </xdr:to>
    <xdr:sp macro="" textlink="">
      <xdr:nvSpPr>
        <xdr:cNvPr id="5501668" name="Line 296">
          <a:extLst>
            <a:ext uri="{FF2B5EF4-FFF2-40B4-BE49-F238E27FC236}">
              <a16:creationId xmlns:a16="http://schemas.microsoft.com/office/drawing/2014/main" id="{00000000-0008-0000-0700-0000E4F25300}"/>
            </a:ext>
          </a:extLst>
        </xdr:cNvPr>
        <xdr:cNvSpPr>
          <a:spLocks noChangeShapeType="1"/>
        </xdr:cNvSpPr>
      </xdr:nvSpPr>
      <xdr:spPr bwMode="auto">
        <a:xfrm>
          <a:off x="15862300" y="3162300"/>
          <a:ext cx="0" cy="234950"/>
        </a:xfrm>
        <a:prstGeom prst="line">
          <a:avLst/>
        </a:prstGeom>
        <a:noFill/>
        <a:ln w="9525">
          <a:solidFill>
            <a:srgbClr val="92D050"/>
          </a:solidFill>
          <a:prstDash val="sysDot"/>
          <a:round/>
          <a:headEnd type="triangle" w="sm" len="sm"/>
          <a:tailEnd type="triangle" w="sm" len="sm"/>
        </a:ln>
      </xdr:spPr>
    </xdr:sp>
    <xdr:clientData/>
  </xdr:twoCellAnchor>
  <xdr:twoCellAnchor>
    <xdr:from>
      <xdr:col>17</xdr:col>
      <xdr:colOff>0</xdr:colOff>
      <xdr:row>11</xdr:row>
      <xdr:rowOff>101600</xdr:rowOff>
    </xdr:from>
    <xdr:to>
      <xdr:col>17</xdr:col>
      <xdr:colOff>838200</xdr:colOff>
      <xdr:row>11</xdr:row>
      <xdr:rowOff>101600</xdr:rowOff>
    </xdr:to>
    <xdr:sp macro="" textlink="">
      <xdr:nvSpPr>
        <xdr:cNvPr id="5501669" name="Line 297">
          <a:extLst>
            <a:ext uri="{FF2B5EF4-FFF2-40B4-BE49-F238E27FC236}">
              <a16:creationId xmlns:a16="http://schemas.microsoft.com/office/drawing/2014/main" id="{00000000-0008-0000-0700-0000E5F25300}"/>
            </a:ext>
          </a:extLst>
        </xdr:cNvPr>
        <xdr:cNvSpPr>
          <a:spLocks noChangeShapeType="1"/>
        </xdr:cNvSpPr>
      </xdr:nvSpPr>
      <xdr:spPr bwMode="auto">
        <a:xfrm>
          <a:off x="13576300" y="2032000"/>
          <a:ext cx="838200" cy="0"/>
        </a:xfrm>
        <a:prstGeom prst="line">
          <a:avLst/>
        </a:prstGeom>
        <a:noFill/>
        <a:ln w="9525">
          <a:solidFill>
            <a:srgbClr val="000000"/>
          </a:solidFill>
          <a:round/>
          <a:headEnd/>
          <a:tailEnd/>
        </a:ln>
      </xdr:spPr>
    </xdr:sp>
    <xdr:clientData/>
  </xdr:twoCellAnchor>
  <xdr:twoCellAnchor>
    <xdr:from>
      <xdr:col>17</xdr:col>
      <xdr:colOff>0</xdr:colOff>
      <xdr:row>16</xdr:row>
      <xdr:rowOff>69850</xdr:rowOff>
    </xdr:from>
    <xdr:to>
      <xdr:col>17</xdr:col>
      <xdr:colOff>679450</xdr:colOff>
      <xdr:row>16</xdr:row>
      <xdr:rowOff>69850</xdr:rowOff>
    </xdr:to>
    <xdr:sp macro="" textlink="">
      <xdr:nvSpPr>
        <xdr:cNvPr id="5501670" name="Line 298">
          <a:extLst>
            <a:ext uri="{FF2B5EF4-FFF2-40B4-BE49-F238E27FC236}">
              <a16:creationId xmlns:a16="http://schemas.microsoft.com/office/drawing/2014/main" id="{00000000-0008-0000-0700-0000E6F25300}"/>
            </a:ext>
          </a:extLst>
        </xdr:cNvPr>
        <xdr:cNvSpPr>
          <a:spLocks noChangeShapeType="1"/>
        </xdr:cNvSpPr>
      </xdr:nvSpPr>
      <xdr:spPr bwMode="auto">
        <a:xfrm>
          <a:off x="13576300" y="2832100"/>
          <a:ext cx="679450" cy="0"/>
        </a:xfrm>
        <a:prstGeom prst="line">
          <a:avLst/>
        </a:prstGeom>
        <a:noFill/>
        <a:ln w="9525">
          <a:solidFill>
            <a:srgbClr val="92D050"/>
          </a:solidFill>
          <a:round/>
          <a:headEnd/>
          <a:tailEnd/>
        </a:ln>
      </xdr:spPr>
    </xdr:sp>
    <xdr:clientData/>
  </xdr:twoCellAnchor>
  <xdr:twoCellAnchor>
    <xdr:from>
      <xdr:col>17</xdr:col>
      <xdr:colOff>514350</xdr:colOff>
      <xdr:row>31</xdr:row>
      <xdr:rowOff>127000</xdr:rowOff>
    </xdr:from>
    <xdr:to>
      <xdr:col>17</xdr:col>
      <xdr:colOff>514350</xdr:colOff>
      <xdr:row>33</xdr:row>
      <xdr:rowOff>95250</xdr:rowOff>
    </xdr:to>
    <xdr:sp macro="" textlink="">
      <xdr:nvSpPr>
        <xdr:cNvPr id="5501671" name="Line 301">
          <a:extLst>
            <a:ext uri="{FF2B5EF4-FFF2-40B4-BE49-F238E27FC236}">
              <a16:creationId xmlns:a16="http://schemas.microsoft.com/office/drawing/2014/main" id="{00000000-0008-0000-0700-0000E7F25300}"/>
            </a:ext>
          </a:extLst>
        </xdr:cNvPr>
        <xdr:cNvSpPr>
          <a:spLocks noChangeShapeType="1"/>
        </xdr:cNvSpPr>
      </xdr:nvSpPr>
      <xdr:spPr bwMode="auto">
        <a:xfrm flipH="1">
          <a:off x="14090650" y="5391150"/>
          <a:ext cx="0" cy="311150"/>
        </a:xfrm>
        <a:prstGeom prst="line">
          <a:avLst/>
        </a:prstGeom>
        <a:noFill/>
        <a:ln w="9525">
          <a:solidFill>
            <a:srgbClr val="000000"/>
          </a:solidFill>
          <a:round/>
          <a:headEnd/>
          <a:tailEnd/>
        </a:ln>
      </xdr:spPr>
    </xdr:sp>
    <xdr:clientData/>
  </xdr:twoCellAnchor>
  <xdr:twoCellAnchor>
    <xdr:from>
      <xdr:col>17</xdr:col>
      <xdr:colOff>0</xdr:colOff>
      <xdr:row>2</xdr:row>
      <xdr:rowOff>76200</xdr:rowOff>
    </xdr:from>
    <xdr:to>
      <xdr:col>17</xdr:col>
      <xdr:colOff>152400</xdr:colOff>
      <xdr:row>2</xdr:row>
      <xdr:rowOff>76200</xdr:rowOff>
    </xdr:to>
    <xdr:sp macro="" textlink="">
      <xdr:nvSpPr>
        <xdr:cNvPr id="5501672" name="Line 302">
          <a:extLst>
            <a:ext uri="{FF2B5EF4-FFF2-40B4-BE49-F238E27FC236}">
              <a16:creationId xmlns:a16="http://schemas.microsoft.com/office/drawing/2014/main" id="{00000000-0008-0000-0700-0000E8F25300}"/>
            </a:ext>
          </a:extLst>
        </xdr:cNvPr>
        <xdr:cNvSpPr>
          <a:spLocks noChangeShapeType="1"/>
        </xdr:cNvSpPr>
      </xdr:nvSpPr>
      <xdr:spPr bwMode="auto">
        <a:xfrm>
          <a:off x="13576300" y="419100"/>
          <a:ext cx="152400" cy="0"/>
        </a:xfrm>
        <a:prstGeom prst="line">
          <a:avLst/>
        </a:prstGeom>
        <a:noFill/>
        <a:ln w="9525">
          <a:solidFill>
            <a:srgbClr val="000000"/>
          </a:solidFill>
          <a:round/>
          <a:headEnd/>
          <a:tailEnd/>
        </a:ln>
      </xdr:spPr>
    </xdr:sp>
    <xdr:clientData/>
  </xdr:twoCellAnchor>
  <xdr:twoCellAnchor>
    <xdr:from>
      <xdr:col>17</xdr:col>
      <xdr:colOff>1771650</xdr:colOff>
      <xdr:row>10</xdr:row>
      <xdr:rowOff>88900</xdr:rowOff>
    </xdr:from>
    <xdr:to>
      <xdr:col>20</xdr:col>
      <xdr:colOff>0</xdr:colOff>
      <xdr:row>10</xdr:row>
      <xdr:rowOff>88900</xdr:rowOff>
    </xdr:to>
    <xdr:sp macro="" textlink="">
      <xdr:nvSpPr>
        <xdr:cNvPr id="5501673" name="Line 303">
          <a:extLst>
            <a:ext uri="{FF2B5EF4-FFF2-40B4-BE49-F238E27FC236}">
              <a16:creationId xmlns:a16="http://schemas.microsoft.com/office/drawing/2014/main" id="{00000000-0008-0000-0700-0000E9F25300}"/>
            </a:ext>
          </a:extLst>
        </xdr:cNvPr>
        <xdr:cNvSpPr>
          <a:spLocks noChangeShapeType="1"/>
        </xdr:cNvSpPr>
      </xdr:nvSpPr>
      <xdr:spPr bwMode="auto">
        <a:xfrm flipV="1">
          <a:off x="14712950" y="1847850"/>
          <a:ext cx="1949450" cy="0"/>
        </a:xfrm>
        <a:prstGeom prst="line">
          <a:avLst/>
        </a:prstGeom>
        <a:noFill/>
        <a:ln w="9525">
          <a:solidFill>
            <a:srgbClr val="92D050"/>
          </a:solidFill>
          <a:prstDash val="sysDot"/>
          <a:round/>
          <a:headEnd/>
          <a:tailEnd/>
        </a:ln>
      </xdr:spPr>
    </xdr:sp>
    <xdr:clientData/>
  </xdr:twoCellAnchor>
  <xdr:twoCellAnchor>
    <xdr:from>
      <xdr:col>18</xdr:col>
      <xdr:colOff>190500</xdr:colOff>
      <xdr:row>12</xdr:row>
      <xdr:rowOff>76200</xdr:rowOff>
    </xdr:from>
    <xdr:to>
      <xdr:col>20</xdr:col>
      <xdr:colOff>0</xdr:colOff>
      <xdr:row>12</xdr:row>
      <xdr:rowOff>76200</xdr:rowOff>
    </xdr:to>
    <xdr:sp macro="" textlink="">
      <xdr:nvSpPr>
        <xdr:cNvPr id="5501674" name="Line 304">
          <a:extLst>
            <a:ext uri="{FF2B5EF4-FFF2-40B4-BE49-F238E27FC236}">
              <a16:creationId xmlns:a16="http://schemas.microsoft.com/office/drawing/2014/main" id="{00000000-0008-0000-0700-0000EAF25300}"/>
            </a:ext>
          </a:extLst>
        </xdr:cNvPr>
        <xdr:cNvSpPr>
          <a:spLocks noChangeShapeType="1"/>
        </xdr:cNvSpPr>
      </xdr:nvSpPr>
      <xdr:spPr bwMode="auto">
        <a:xfrm flipV="1">
          <a:off x="14903450" y="2178050"/>
          <a:ext cx="1758950" cy="0"/>
        </a:xfrm>
        <a:prstGeom prst="line">
          <a:avLst/>
        </a:prstGeom>
        <a:noFill/>
        <a:ln w="9525">
          <a:solidFill>
            <a:srgbClr val="92D050"/>
          </a:solidFill>
          <a:prstDash val="sysDot"/>
          <a:round/>
          <a:headEnd/>
          <a:tailEnd/>
        </a:ln>
      </xdr:spPr>
    </xdr:sp>
    <xdr:clientData/>
  </xdr:twoCellAnchor>
  <xdr:twoCellAnchor>
    <xdr:from>
      <xdr:col>19</xdr:col>
      <xdr:colOff>19050</xdr:colOff>
      <xdr:row>15</xdr:row>
      <xdr:rowOff>44450</xdr:rowOff>
    </xdr:from>
    <xdr:to>
      <xdr:col>19</xdr:col>
      <xdr:colOff>787400</xdr:colOff>
      <xdr:row>15</xdr:row>
      <xdr:rowOff>44450</xdr:rowOff>
    </xdr:to>
    <xdr:sp macro="" textlink="">
      <xdr:nvSpPr>
        <xdr:cNvPr id="5501675" name="Line 305">
          <a:extLst>
            <a:ext uri="{FF2B5EF4-FFF2-40B4-BE49-F238E27FC236}">
              <a16:creationId xmlns:a16="http://schemas.microsoft.com/office/drawing/2014/main" id="{00000000-0008-0000-0700-0000EBF25300}"/>
            </a:ext>
          </a:extLst>
        </xdr:cNvPr>
        <xdr:cNvSpPr>
          <a:spLocks noChangeShapeType="1"/>
        </xdr:cNvSpPr>
      </xdr:nvSpPr>
      <xdr:spPr bwMode="auto">
        <a:xfrm flipV="1">
          <a:off x="15868650" y="2641600"/>
          <a:ext cx="768350" cy="0"/>
        </a:xfrm>
        <a:prstGeom prst="line">
          <a:avLst/>
        </a:prstGeom>
        <a:noFill/>
        <a:ln w="9525">
          <a:solidFill>
            <a:srgbClr val="92D050"/>
          </a:solidFill>
          <a:prstDash val="sysDot"/>
          <a:round/>
          <a:headEnd/>
          <a:tailEnd/>
        </a:ln>
      </xdr:spPr>
    </xdr:sp>
    <xdr:clientData/>
  </xdr:twoCellAnchor>
  <xdr:twoCellAnchor>
    <xdr:from>
      <xdr:col>19</xdr:col>
      <xdr:colOff>19050</xdr:colOff>
      <xdr:row>19</xdr:row>
      <xdr:rowOff>25400</xdr:rowOff>
    </xdr:from>
    <xdr:to>
      <xdr:col>19</xdr:col>
      <xdr:colOff>806450</xdr:colOff>
      <xdr:row>19</xdr:row>
      <xdr:rowOff>25400</xdr:rowOff>
    </xdr:to>
    <xdr:sp macro="" textlink="">
      <xdr:nvSpPr>
        <xdr:cNvPr id="5501676" name="Line 308">
          <a:extLst>
            <a:ext uri="{FF2B5EF4-FFF2-40B4-BE49-F238E27FC236}">
              <a16:creationId xmlns:a16="http://schemas.microsoft.com/office/drawing/2014/main" id="{00000000-0008-0000-0700-0000ECF25300}"/>
            </a:ext>
          </a:extLst>
        </xdr:cNvPr>
        <xdr:cNvSpPr>
          <a:spLocks noChangeShapeType="1"/>
        </xdr:cNvSpPr>
      </xdr:nvSpPr>
      <xdr:spPr bwMode="auto">
        <a:xfrm flipH="1" flipV="1">
          <a:off x="15868650" y="3282950"/>
          <a:ext cx="787400" cy="0"/>
        </a:xfrm>
        <a:prstGeom prst="line">
          <a:avLst/>
        </a:prstGeom>
        <a:noFill/>
        <a:ln w="9525">
          <a:solidFill>
            <a:srgbClr val="92D050"/>
          </a:solidFill>
          <a:prstDash val="sysDot"/>
          <a:round/>
          <a:headEnd type="none" w="sm" len="sm"/>
          <a:tailEnd type="none" w="sm" len="sm"/>
        </a:ln>
      </xdr:spPr>
    </xdr:sp>
    <xdr:clientData/>
  </xdr:twoCellAnchor>
  <xdr:twoCellAnchor>
    <xdr:from>
      <xdr:col>15</xdr:col>
      <xdr:colOff>812800</xdr:colOff>
      <xdr:row>28</xdr:row>
      <xdr:rowOff>88900</xdr:rowOff>
    </xdr:from>
    <xdr:to>
      <xdr:col>16</xdr:col>
      <xdr:colOff>323850</xdr:colOff>
      <xdr:row>28</xdr:row>
      <xdr:rowOff>88900</xdr:rowOff>
    </xdr:to>
    <xdr:sp macro="" textlink="">
      <xdr:nvSpPr>
        <xdr:cNvPr id="5501677" name="Line 310">
          <a:extLst>
            <a:ext uri="{FF2B5EF4-FFF2-40B4-BE49-F238E27FC236}">
              <a16:creationId xmlns:a16="http://schemas.microsoft.com/office/drawing/2014/main" id="{00000000-0008-0000-0700-0000EDF25300}"/>
            </a:ext>
          </a:extLst>
        </xdr:cNvPr>
        <xdr:cNvSpPr>
          <a:spLocks noChangeShapeType="1"/>
        </xdr:cNvSpPr>
      </xdr:nvSpPr>
      <xdr:spPr bwMode="auto">
        <a:xfrm>
          <a:off x="12763500" y="4838700"/>
          <a:ext cx="323850" cy="0"/>
        </a:xfrm>
        <a:prstGeom prst="line">
          <a:avLst/>
        </a:prstGeom>
        <a:noFill/>
        <a:ln w="9525">
          <a:solidFill>
            <a:srgbClr val="000000"/>
          </a:solidFill>
          <a:round/>
          <a:headEnd/>
          <a:tailEnd/>
        </a:ln>
      </xdr:spPr>
    </xdr:sp>
    <xdr:clientData/>
  </xdr:twoCellAnchor>
  <xdr:twoCellAnchor>
    <xdr:from>
      <xdr:col>16</xdr:col>
      <xdr:colOff>234950</xdr:colOff>
      <xdr:row>27</xdr:row>
      <xdr:rowOff>127000</xdr:rowOff>
    </xdr:from>
    <xdr:to>
      <xdr:col>17</xdr:col>
      <xdr:colOff>69850</xdr:colOff>
      <xdr:row>27</xdr:row>
      <xdr:rowOff>127000</xdr:rowOff>
    </xdr:to>
    <xdr:sp macro="" textlink="">
      <xdr:nvSpPr>
        <xdr:cNvPr id="5501678" name="Line 277">
          <a:extLst>
            <a:ext uri="{FF2B5EF4-FFF2-40B4-BE49-F238E27FC236}">
              <a16:creationId xmlns:a16="http://schemas.microsoft.com/office/drawing/2014/main" id="{00000000-0008-0000-0700-0000EEF25300}"/>
            </a:ext>
          </a:extLst>
        </xdr:cNvPr>
        <xdr:cNvSpPr>
          <a:spLocks noChangeShapeType="1"/>
        </xdr:cNvSpPr>
      </xdr:nvSpPr>
      <xdr:spPr bwMode="auto">
        <a:xfrm>
          <a:off x="12998450" y="4705350"/>
          <a:ext cx="647700" cy="0"/>
        </a:xfrm>
        <a:prstGeom prst="line">
          <a:avLst/>
        </a:prstGeom>
        <a:noFill/>
        <a:ln w="6350">
          <a:solidFill>
            <a:srgbClr val="000000"/>
          </a:solidFill>
          <a:round/>
          <a:headEnd/>
          <a:tailEnd/>
        </a:ln>
      </xdr:spPr>
    </xdr:sp>
    <xdr:clientData/>
  </xdr:twoCellAnchor>
  <xdr:twoCellAnchor>
    <xdr:from>
      <xdr:col>17</xdr:col>
      <xdr:colOff>412750</xdr:colOff>
      <xdr:row>28</xdr:row>
      <xdr:rowOff>127000</xdr:rowOff>
    </xdr:from>
    <xdr:to>
      <xdr:col>19</xdr:col>
      <xdr:colOff>82550</xdr:colOff>
      <xdr:row>28</xdr:row>
      <xdr:rowOff>127000</xdr:rowOff>
    </xdr:to>
    <xdr:sp macro="" textlink="">
      <xdr:nvSpPr>
        <xdr:cNvPr id="5501679" name="Line 280">
          <a:extLst>
            <a:ext uri="{FF2B5EF4-FFF2-40B4-BE49-F238E27FC236}">
              <a16:creationId xmlns:a16="http://schemas.microsoft.com/office/drawing/2014/main" id="{00000000-0008-0000-0700-0000EFF25300}"/>
            </a:ext>
          </a:extLst>
        </xdr:cNvPr>
        <xdr:cNvSpPr>
          <a:spLocks noChangeShapeType="1"/>
        </xdr:cNvSpPr>
      </xdr:nvSpPr>
      <xdr:spPr bwMode="auto">
        <a:xfrm flipV="1">
          <a:off x="13989050" y="4876800"/>
          <a:ext cx="1943100" cy="0"/>
        </a:xfrm>
        <a:prstGeom prst="line">
          <a:avLst/>
        </a:prstGeom>
        <a:noFill/>
        <a:ln w="6350">
          <a:solidFill>
            <a:srgbClr val="000000"/>
          </a:solidFill>
          <a:round/>
          <a:headEnd/>
          <a:tailEnd/>
        </a:ln>
      </xdr:spPr>
    </xdr:sp>
    <xdr:clientData/>
  </xdr:twoCellAnchor>
  <xdr:twoCellAnchor>
    <xdr:from>
      <xdr:col>18</xdr:col>
      <xdr:colOff>165100</xdr:colOff>
      <xdr:row>30</xdr:row>
      <xdr:rowOff>44450</xdr:rowOff>
    </xdr:from>
    <xdr:to>
      <xdr:col>18</xdr:col>
      <xdr:colOff>927100</xdr:colOff>
      <xdr:row>30</xdr:row>
      <xdr:rowOff>44450</xdr:rowOff>
    </xdr:to>
    <xdr:sp macro="" textlink="">
      <xdr:nvSpPr>
        <xdr:cNvPr id="5501680" name="Line 280">
          <a:extLst>
            <a:ext uri="{FF2B5EF4-FFF2-40B4-BE49-F238E27FC236}">
              <a16:creationId xmlns:a16="http://schemas.microsoft.com/office/drawing/2014/main" id="{00000000-0008-0000-0700-0000F0F25300}"/>
            </a:ext>
          </a:extLst>
        </xdr:cNvPr>
        <xdr:cNvSpPr>
          <a:spLocks noChangeShapeType="1"/>
        </xdr:cNvSpPr>
      </xdr:nvSpPr>
      <xdr:spPr bwMode="auto">
        <a:xfrm>
          <a:off x="14878050" y="5137150"/>
          <a:ext cx="762000" cy="0"/>
        </a:xfrm>
        <a:prstGeom prst="line">
          <a:avLst/>
        </a:prstGeom>
        <a:noFill/>
        <a:ln w="6350">
          <a:solidFill>
            <a:srgbClr val="000000"/>
          </a:solidFill>
          <a:round/>
          <a:headEnd/>
          <a:tailEnd/>
        </a:ln>
      </xdr:spPr>
    </xdr:sp>
    <xdr:clientData/>
  </xdr:twoCellAnchor>
  <xdr:twoCellAnchor>
    <xdr:from>
      <xdr:col>17</xdr:col>
      <xdr:colOff>1047750</xdr:colOff>
      <xdr:row>20</xdr:row>
      <xdr:rowOff>0</xdr:rowOff>
    </xdr:from>
    <xdr:to>
      <xdr:col>18</xdr:col>
      <xdr:colOff>158750</xdr:colOff>
      <xdr:row>30</xdr:row>
      <xdr:rowOff>44450</xdr:rowOff>
    </xdr:to>
    <xdr:sp macro="" textlink="">
      <xdr:nvSpPr>
        <xdr:cNvPr id="5501681" name="Rectangle 139">
          <a:extLst>
            <a:ext uri="{FF2B5EF4-FFF2-40B4-BE49-F238E27FC236}">
              <a16:creationId xmlns:a16="http://schemas.microsoft.com/office/drawing/2014/main" id="{00000000-0008-0000-0700-0000F1F25300}"/>
            </a:ext>
          </a:extLst>
        </xdr:cNvPr>
        <xdr:cNvSpPr>
          <a:spLocks noChangeArrowheads="1"/>
        </xdr:cNvSpPr>
      </xdr:nvSpPr>
      <xdr:spPr bwMode="auto">
        <a:xfrm>
          <a:off x="14624050" y="3422650"/>
          <a:ext cx="247650" cy="1714500"/>
        </a:xfrm>
        <a:prstGeom prst="rect">
          <a:avLst/>
        </a:prstGeom>
        <a:noFill/>
        <a:ln w="9525" algn="ctr">
          <a:solidFill>
            <a:srgbClr val="00B0F0"/>
          </a:solidFill>
          <a:prstDash val="sysDash"/>
          <a:round/>
          <a:headEnd/>
          <a:tailEnd/>
        </a:ln>
      </xdr:spPr>
    </xdr:sp>
    <xdr:clientData/>
  </xdr:twoCellAnchor>
  <xdr:twoCellAnchor>
    <xdr:from>
      <xdr:col>18</xdr:col>
      <xdr:colOff>927100</xdr:colOff>
      <xdr:row>1</xdr:row>
      <xdr:rowOff>12700</xdr:rowOff>
    </xdr:from>
    <xdr:to>
      <xdr:col>18</xdr:col>
      <xdr:colOff>927100</xdr:colOff>
      <xdr:row>29</xdr:row>
      <xdr:rowOff>69850</xdr:rowOff>
    </xdr:to>
    <xdr:sp macro="" textlink="">
      <xdr:nvSpPr>
        <xdr:cNvPr id="5501682" name="Line 270">
          <a:extLst>
            <a:ext uri="{FF2B5EF4-FFF2-40B4-BE49-F238E27FC236}">
              <a16:creationId xmlns:a16="http://schemas.microsoft.com/office/drawing/2014/main" id="{00000000-0008-0000-0700-0000F2F25300}"/>
            </a:ext>
          </a:extLst>
        </xdr:cNvPr>
        <xdr:cNvSpPr>
          <a:spLocks noChangeShapeType="1"/>
        </xdr:cNvSpPr>
      </xdr:nvSpPr>
      <xdr:spPr bwMode="auto">
        <a:xfrm flipH="1">
          <a:off x="15640050" y="184150"/>
          <a:ext cx="0" cy="4806950"/>
        </a:xfrm>
        <a:prstGeom prst="line">
          <a:avLst/>
        </a:prstGeom>
        <a:noFill/>
        <a:ln w="6350">
          <a:solidFill>
            <a:srgbClr val="000000"/>
          </a:solidFill>
          <a:round/>
          <a:headEnd type="triangle" w="sm" len="lg"/>
          <a:tailEnd type="triangle" w="sm" len="lg"/>
        </a:ln>
      </xdr:spPr>
    </xdr:sp>
    <xdr:clientData/>
  </xdr:twoCellAnchor>
  <xdr:twoCellAnchor>
    <xdr:from>
      <xdr:col>17</xdr:col>
      <xdr:colOff>12700</xdr:colOff>
      <xdr:row>33</xdr:row>
      <xdr:rowOff>95250</xdr:rowOff>
    </xdr:from>
    <xdr:to>
      <xdr:col>17</xdr:col>
      <xdr:colOff>520700</xdr:colOff>
      <xdr:row>33</xdr:row>
      <xdr:rowOff>95250</xdr:rowOff>
    </xdr:to>
    <xdr:sp macro="" textlink="">
      <xdr:nvSpPr>
        <xdr:cNvPr id="5501683" name="Line 301">
          <a:extLst>
            <a:ext uri="{FF2B5EF4-FFF2-40B4-BE49-F238E27FC236}">
              <a16:creationId xmlns:a16="http://schemas.microsoft.com/office/drawing/2014/main" id="{00000000-0008-0000-0700-0000F3F25300}"/>
            </a:ext>
          </a:extLst>
        </xdr:cNvPr>
        <xdr:cNvSpPr>
          <a:spLocks noChangeShapeType="1"/>
        </xdr:cNvSpPr>
      </xdr:nvSpPr>
      <xdr:spPr bwMode="auto">
        <a:xfrm>
          <a:off x="13589000" y="5702300"/>
          <a:ext cx="508000" cy="0"/>
        </a:xfrm>
        <a:prstGeom prst="line">
          <a:avLst/>
        </a:prstGeom>
        <a:noFill/>
        <a:ln w="9525">
          <a:solidFill>
            <a:srgbClr val="000000"/>
          </a:solidFill>
          <a:round/>
          <a:headEnd/>
          <a:tailEnd/>
        </a:ln>
      </xdr:spPr>
    </xdr:sp>
    <xdr:clientData/>
  </xdr:twoCellAnchor>
  <xdr:twoCellAnchor>
    <xdr:from>
      <xdr:col>18</xdr:col>
      <xdr:colOff>787400</xdr:colOff>
      <xdr:row>1</xdr:row>
      <xdr:rowOff>19050</xdr:rowOff>
    </xdr:from>
    <xdr:to>
      <xdr:col>18</xdr:col>
      <xdr:colOff>787400</xdr:colOff>
      <xdr:row>30</xdr:row>
      <xdr:rowOff>38100</xdr:rowOff>
    </xdr:to>
    <xdr:sp macro="" textlink="">
      <xdr:nvSpPr>
        <xdr:cNvPr id="5501684" name="Line 270">
          <a:extLst>
            <a:ext uri="{FF2B5EF4-FFF2-40B4-BE49-F238E27FC236}">
              <a16:creationId xmlns:a16="http://schemas.microsoft.com/office/drawing/2014/main" id="{00000000-0008-0000-0700-0000F4F25300}"/>
            </a:ext>
          </a:extLst>
        </xdr:cNvPr>
        <xdr:cNvSpPr>
          <a:spLocks noChangeShapeType="1"/>
        </xdr:cNvSpPr>
      </xdr:nvSpPr>
      <xdr:spPr bwMode="auto">
        <a:xfrm>
          <a:off x="15500350" y="190500"/>
          <a:ext cx="0" cy="4940300"/>
        </a:xfrm>
        <a:prstGeom prst="line">
          <a:avLst/>
        </a:prstGeom>
        <a:noFill/>
        <a:ln w="6350">
          <a:solidFill>
            <a:srgbClr val="000000"/>
          </a:solidFill>
          <a:round/>
          <a:headEnd type="triangle" w="sm" len="lg"/>
          <a:tailEnd type="triangle" w="sm" len="lg"/>
        </a:ln>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omments" Target="../comments2.xml"/><Relationship Id="rId5" Type="http://schemas.openxmlformats.org/officeDocument/2006/relationships/image" Target="../media/image6.emf"/><Relationship Id="rId10" Type="http://schemas.openxmlformats.org/officeDocument/2006/relationships/ctrlProp" Target="../ctrlProps/ctrlProp18.xml"/><Relationship Id="rId4" Type="http://schemas.openxmlformats.org/officeDocument/2006/relationships/oleObject" Target="../embeddings/oleObject1.bin"/><Relationship Id="rId9"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oleObject" Target="../embeddings/oleObject12.bin"/><Relationship Id="rId21" Type="http://schemas.openxmlformats.org/officeDocument/2006/relationships/image" Target="../media/image14.emf"/><Relationship Id="rId42" Type="http://schemas.openxmlformats.org/officeDocument/2006/relationships/oleObject" Target="../embeddings/oleObject20.bin"/><Relationship Id="rId47" Type="http://schemas.openxmlformats.org/officeDocument/2006/relationships/image" Target="../media/image27.emf"/><Relationship Id="rId63" Type="http://schemas.openxmlformats.org/officeDocument/2006/relationships/image" Target="../media/image35.emf"/><Relationship Id="rId68" Type="http://schemas.openxmlformats.org/officeDocument/2006/relationships/oleObject" Target="../embeddings/oleObject33.bin"/><Relationship Id="rId16" Type="http://schemas.openxmlformats.org/officeDocument/2006/relationships/oleObject" Target="../embeddings/oleObject7.bin"/><Relationship Id="rId11" Type="http://schemas.openxmlformats.org/officeDocument/2006/relationships/image" Target="../media/image9.e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image" Target="../media/image22.emf"/><Relationship Id="rId40" Type="http://schemas.openxmlformats.org/officeDocument/2006/relationships/oleObject" Target="../embeddings/oleObject19.bin"/><Relationship Id="rId45" Type="http://schemas.openxmlformats.org/officeDocument/2006/relationships/image" Target="../media/image26.emf"/><Relationship Id="rId53" Type="http://schemas.openxmlformats.org/officeDocument/2006/relationships/image" Target="../media/image30.emf"/><Relationship Id="rId58" Type="http://schemas.openxmlformats.org/officeDocument/2006/relationships/oleObject" Target="../embeddings/oleObject28.bin"/><Relationship Id="rId66" Type="http://schemas.openxmlformats.org/officeDocument/2006/relationships/oleObject" Target="../embeddings/oleObject32.bin"/><Relationship Id="rId74" Type="http://schemas.openxmlformats.org/officeDocument/2006/relationships/oleObject" Target="../embeddings/oleObject36.bin"/><Relationship Id="rId5" Type="http://schemas.openxmlformats.org/officeDocument/2006/relationships/vmlDrawing" Target="../drawings/vmlDrawing3.vml"/><Relationship Id="rId61" Type="http://schemas.openxmlformats.org/officeDocument/2006/relationships/image" Target="../media/image34.emf"/><Relationship Id="rId19" Type="http://schemas.openxmlformats.org/officeDocument/2006/relationships/image" Target="../media/image1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7.emf"/><Relationship Id="rId30" Type="http://schemas.openxmlformats.org/officeDocument/2006/relationships/oleObject" Target="../embeddings/oleObject14.bin"/><Relationship Id="rId35" Type="http://schemas.openxmlformats.org/officeDocument/2006/relationships/image" Target="../media/image21.emf"/><Relationship Id="rId43" Type="http://schemas.openxmlformats.org/officeDocument/2006/relationships/image" Target="../media/image25.emf"/><Relationship Id="rId48" Type="http://schemas.openxmlformats.org/officeDocument/2006/relationships/oleObject" Target="../embeddings/oleObject23.bin"/><Relationship Id="rId56" Type="http://schemas.openxmlformats.org/officeDocument/2006/relationships/oleObject" Target="../embeddings/oleObject27.bin"/><Relationship Id="rId64" Type="http://schemas.openxmlformats.org/officeDocument/2006/relationships/oleObject" Target="../embeddings/oleObject31.bin"/><Relationship Id="rId69" Type="http://schemas.openxmlformats.org/officeDocument/2006/relationships/image" Target="../media/image38.emf"/><Relationship Id="rId77" Type="http://schemas.openxmlformats.org/officeDocument/2006/relationships/image" Target="../media/image42.emf"/><Relationship Id="rId8" Type="http://schemas.openxmlformats.org/officeDocument/2006/relationships/oleObject" Target="../embeddings/oleObject3.bin"/><Relationship Id="rId51" Type="http://schemas.openxmlformats.org/officeDocument/2006/relationships/image" Target="../media/image29.emf"/><Relationship Id="rId72" Type="http://schemas.openxmlformats.org/officeDocument/2006/relationships/oleObject" Target="../embeddings/oleObject35.bin"/><Relationship Id="rId3" Type="http://schemas.openxmlformats.org/officeDocument/2006/relationships/printerSettings" Target="../printerSettings/printerSettings5.bin"/><Relationship Id="rId12" Type="http://schemas.openxmlformats.org/officeDocument/2006/relationships/oleObject" Target="../embeddings/oleObject5.bin"/><Relationship Id="rId17" Type="http://schemas.openxmlformats.org/officeDocument/2006/relationships/image" Target="../media/image12.emf"/><Relationship Id="rId25" Type="http://schemas.openxmlformats.org/officeDocument/2006/relationships/image" Target="../media/image16.emf"/><Relationship Id="rId33" Type="http://schemas.openxmlformats.org/officeDocument/2006/relationships/image" Target="../media/image20.emf"/><Relationship Id="rId38" Type="http://schemas.openxmlformats.org/officeDocument/2006/relationships/oleObject" Target="../embeddings/oleObject18.bin"/><Relationship Id="rId46" Type="http://schemas.openxmlformats.org/officeDocument/2006/relationships/oleObject" Target="../embeddings/oleObject22.bin"/><Relationship Id="rId59" Type="http://schemas.openxmlformats.org/officeDocument/2006/relationships/image" Target="../media/image33.emf"/><Relationship Id="rId67" Type="http://schemas.openxmlformats.org/officeDocument/2006/relationships/image" Target="../media/image37.emf"/><Relationship Id="rId20" Type="http://schemas.openxmlformats.org/officeDocument/2006/relationships/oleObject" Target="../embeddings/oleObject9.bin"/><Relationship Id="rId41" Type="http://schemas.openxmlformats.org/officeDocument/2006/relationships/image" Target="../media/image24.emf"/><Relationship Id="rId54" Type="http://schemas.openxmlformats.org/officeDocument/2006/relationships/oleObject" Target="../embeddings/oleObject26.bin"/><Relationship Id="rId62" Type="http://schemas.openxmlformats.org/officeDocument/2006/relationships/oleObject" Target="../embeddings/oleObject30.bin"/><Relationship Id="rId70" Type="http://schemas.openxmlformats.org/officeDocument/2006/relationships/oleObject" Target="../embeddings/oleObject34.bin"/><Relationship Id="rId75" Type="http://schemas.openxmlformats.org/officeDocument/2006/relationships/image" Target="../media/image41.emf"/><Relationship Id="rId1" Type="http://schemas.openxmlformats.org/officeDocument/2006/relationships/hyperlink" Target="http://en.wikipedia.org/wiki/Template:Numerical_integrators" TargetMode="External"/><Relationship Id="rId6" Type="http://schemas.openxmlformats.org/officeDocument/2006/relationships/oleObject" Target="../embeddings/oleObject2.bin"/><Relationship Id="rId15" Type="http://schemas.openxmlformats.org/officeDocument/2006/relationships/image" Target="../media/image11.emf"/><Relationship Id="rId23" Type="http://schemas.openxmlformats.org/officeDocument/2006/relationships/image" Target="../media/image15.emf"/><Relationship Id="rId28" Type="http://schemas.openxmlformats.org/officeDocument/2006/relationships/oleObject" Target="../embeddings/oleObject13.bin"/><Relationship Id="rId36" Type="http://schemas.openxmlformats.org/officeDocument/2006/relationships/oleObject" Target="../embeddings/oleObject17.bin"/><Relationship Id="rId49" Type="http://schemas.openxmlformats.org/officeDocument/2006/relationships/image" Target="../media/image28.emf"/><Relationship Id="rId57" Type="http://schemas.openxmlformats.org/officeDocument/2006/relationships/image" Target="../media/image32.emf"/><Relationship Id="rId10" Type="http://schemas.openxmlformats.org/officeDocument/2006/relationships/oleObject" Target="../embeddings/oleObject4.bin"/><Relationship Id="rId31" Type="http://schemas.openxmlformats.org/officeDocument/2006/relationships/image" Target="../media/image19.emf"/><Relationship Id="rId44" Type="http://schemas.openxmlformats.org/officeDocument/2006/relationships/oleObject" Target="../embeddings/oleObject21.bin"/><Relationship Id="rId52" Type="http://schemas.openxmlformats.org/officeDocument/2006/relationships/oleObject" Target="../embeddings/oleObject25.bin"/><Relationship Id="rId60" Type="http://schemas.openxmlformats.org/officeDocument/2006/relationships/oleObject" Target="../embeddings/oleObject29.bin"/><Relationship Id="rId65" Type="http://schemas.openxmlformats.org/officeDocument/2006/relationships/image" Target="../media/image36.emf"/><Relationship Id="rId73" Type="http://schemas.openxmlformats.org/officeDocument/2006/relationships/image" Target="../media/image40.emf"/><Relationship Id="rId4" Type="http://schemas.openxmlformats.org/officeDocument/2006/relationships/drawing" Target="../drawings/drawing5.xml"/><Relationship Id="rId9" Type="http://schemas.openxmlformats.org/officeDocument/2006/relationships/image" Target="../media/image8.emf"/><Relationship Id="rId13" Type="http://schemas.openxmlformats.org/officeDocument/2006/relationships/image" Target="../media/image10.emf"/><Relationship Id="rId18" Type="http://schemas.openxmlformats.org/officeDocument/2006/relationships/oleObject" Target="../embeddings/oleObject8.bin"/><Relationship Id="rId39" Type="http://schemas.openxmlformats.org/officeDocument/2006/relationships/image" Target="../media/image23.emf"/><Relationship Id="rId34" Type="http://schemas.openxmlformats.org/officeDocument/2006/relationships/oleObject" Target="../embeddings/oleObject16.bin"/><Relationship Id="rId50" Type="http://schemas.openxmlformats.org/officeDocument/2006/relationships/oleObject" Target="../embeddings/oleObject24.bin"/><Relationship Id="rId55" Type="http://schemas.openxmlformats.org/officeDocument/2006/relationships/image" Target="../media/image31.emf"/><Relationship Id="rId76" Type="http://schemas.openxmlformats.org/officeDocument/2006/relationships/oleObject" Target="../embeddings/oleObject37.bin"/><Relationship Id="rId7" Type="http://schemas.openxmlformats.org/officeDocument/2006/relationships/image" Target="../media/image7.emf"/><Relationship Id="rId71" Type="http://schemas.openxmlformats.org/officeDocument/2006/relationships/image" Target="../media/image39.emf"/><Relationship Id="rId2" Type="http://schemas.openxmlformats.org/officeDocument/2006/relationships/hyperlink" Target="http://www.planete-sciences.org/espace/basedoc/" TargetMode="External"/><Relationship Id="rId29" Type="http://schemas.openxmlformats.org/officeDocument/2006/relationships/image" Target="../media/image18.emf"/></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4.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image" Target="../media/image43.emf"/><Relationship Id="rId4" Type="http://schemas.openxmlformats.org/officeDocument/2006/relationships/oleObject" Target="../embeddings/oleObject38.bin"/></Relationships>
</file>

<file path=xl/worksheets/_rels/sheet7.xml.rels><?xml version="1.0" encoding="UTF-8" standalone="yes"?>
<Relationships xmlns="http://schemas.openxmlformats.org/package/2006/relationships"><Relationship Id="rId3" Type="http://schemas.openxmlformats.org/officeDocument/2006/relationships/hyperlink" Target="http://creativecommons.org/licenses/by-sa/3.0/" TargetMode="External"/><Relationship Id="rId7" Type="http://schemas.openxmlformats.org/officeDocument/2006/relationships/comments" Target="../comments4.xml"/><Relationship Id="rId2" Type="http://schemas.openxmlformats.org/officeDocument/2006/relationships/hyperlink" Target="mailto:espace@planete-sciences.org" TargetMode="External"/><Relationship Id="rId1" Type="http://schemas.openxmlformats.org/officeDocument/2006/relationships/hyperlink" Target="http://www.planete-sciences.org/espace/basedoc/" TargetMode="External"/><Relationship Id="rId6" Type="http://schemas.openxmlformats.org/officeDocument/2006/relationships/vmlDrawing" Target="../drawings/vmlDrawing5.vm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pageSetUpPr fitToPage="1"/>
  </sheetPr>
  <dimension ref="A1:W361"/>
  <sheetViews>
    <sheetView showGridLines="0" tabSelected="1" zoomScaleNormal="100" zoomScaleSheetLayoutView="100" workbookViewId="0">
      <selection activeCell="C8" sqref="C8:D8"/>
    </sheetView>
  </sheetViews>
  <sheetFormatPr baseColWidth="10" defaultColWidth="11.3828125" defaultRowHeight="12.45" x14ac:dyDescent="0.3"/>
  <cols>
    <col min="1" max="1" width="2.15234375" style="24" customWidth="1"/>
    <col min="2" max="2" width="16.15234375" style="24" customWidth="1"/>
    <col min="3" max="3" width="12.84375" style="31" customWidth="1"/>
    <col min="4" max="4" width="12.84375" style="24" customWidth="1"/>
    <col min="5" max="5" width="4.15234375" style="89" customWidth="1"/>
    <col min="6" max="6" width="10.15234375" style="26" bestFit="1" customWidth="1"/>
    <col min="7" max="7" width="10" style="26" bestFit="1" customWidth="1"/>
    <col min="8" max="9" width="8.61328125" style="26" customWidth="1"/>
    <col min="10" max="10" width="5.3828125" style="24" customWidth="1"/>
    <col min="11" max="11" width="2.15234375" style="24" customWidth="1"/>
    <col min="12" max="12" width="17" style="24" customWidth="1"/>
    <col min="13" max="13" width="8.61328125" style="24" customWidth="1"/>
    <col min="14" max="15" width="4.15234375" style="24" customWidth="1"/>
    <col min="16" max="16" width="8.61328125" style="24" customWidth="1"/>
    <col min="17" max="18" width="2.15234375" style="24" customWidth="1"/>
    <col min="19" max="16384" width="11.3828125" style="24"/>
  </cols>
  <sheetData>
    <row r="1" spans="1:20" ht="12.75" customHeight="1" x14ac:dyDescent="0.3">
      <c r="A1" s="19"/>
      <c r="B1" s="20"/>
      <c r="C1" s="21"/>
      <c r="D1" s="20"/>
      <c r="E1" s="88"/>
      <c r="F1" s="22"/>
      <c r="G1" s="22"/>
      <c r="H1" s="22"/>
      <c r="I1" s="22"/>
      <c r="J1" s="20"/>
      <c r="K1" s="20"/>
      <c r="L1" s="20"/>
      <c r="M1" s="20"/>
      <c r="N1" s="20"/>
      <c r="O1" s="20"/>
      <c r="P1" s="20"/>
      <c r="Q1" s="23"/>
    </row>
    <row r="2" spans="1:20" ht="12.75" customHeight="1" x14ac:dyDescent="0.3">
      <c r="A2" s="25"/>
      <c r="C2" s="558" t="s">
        <v>53</v>
      </c>
      <c r="D2" s="558"/>
      <c r="L2" s="147" t="str">
        <f>"Language/Langue"</f>
        <v>Language/Langue</v>
      </c>
      <c r="M2" s="583" t="s">
        <v>1</v>
      </c>
      <c r="N2" s="583"/>
      <c r="O2" s="583"/>
      <c r="P2" s="584"/>
      <c r="Q2" s="27"/>
    </row>
    <row r="3" spans="1:20" ht="12.75" customHeight="1" x14ac:dyDescent="0.3">
      <c r="A3" s="25"/>
      <c r="C3" s="558"/>
      <c r="D3" s="558"/>
      <c r="L3" s="591"/>
      <c r="M3" s="591"/>
      <c r="N3" s="45"/>
      <c r="Q3" s="27"/>
    </row>
    <row r="4" spans="1:20" ht="12.75" customHeight="1" x14ac:dyDescent="0.3">
      <c r="A4" s="25"/>
      <c r="C4" s="559" t="str">
        <f>IF(Lang="Français","Stabilité de fusée à ailerons",IF(Lang="English","Stability for rocket with fins",""))</f>
        <v>Stabilité de fusée à ailerons</v>
      </c>
      <c r="D4" s="559"/>
      <c r="L4" s="33"/>
      <c r="M4" s="583" t="s">
        <v>552</v>
      </c>
      <c r="N4" s="583"/>
      <c r="O4" s="583"/>
      <c r="P4" s="584"/>
      <c r="Q4" s="27"/>
    </row>
    <row r="5" spans="1:20" ht="12.75" customHeight="1" x14ac:dyDescent="0.35">
      <c r="A5" s="25"/>
      <c r="B5" s="28"/>
      <c r="C5" s="540"/>
      <c r="D5" s="540"/>
      <c r="L5" s="33"/>
      <c r="M5" s="565" t="s">
        <v>156</v>
      </c>
      <c r="N5" s="566"/>
      <c r="O5" s="594" t="s">
        <v>157</v>
      </c>
      <c r="P5" s="594"/>
      <c r="Q5" s="29"/>
    </row>
    <row r="6" spans="1:20" ht="12.75" customHeight="1" thickBot="1" x14ac:dyDescent="0.35">
      <c r="A6" s="25"/>
      <c r="B6" s="87"/>
      <c r="C6" s="553" t="str">
        <f>IF(Lang="Français","Remplir les cases jaunes",IF(Lang="English","Fill-in yellow cells only",""))</f>
        <v>Remplir les cases jaunes</v>
      </c>
      <c r="D6" s="553"/>
      <c r="L6" s="139" t="str">
        <f>IF(Lang="Français","Longueur      'L'",IF(Lang="English","Length      'L'",""))</f>
        <v>Longueur      'L'</v>
      </c>
      <c r="M6" s="554">
        <v>50</v>
      </c>
      <c r="N6" s="555"/>
      <c r="O6" s="575">
        <v>50</v>
      </c>
      <c r="P6" s="575"/>
      <c r="Q6" s="29"/>
    </row>
    <row r="7" spans="1:20" ht="12.75" customHeight="1" thickTop="1" thickBot="1" x14ac:dyDescent="0.35">
      <c r="A7" s="25"/>
      <c r="B7" s="31"/>
      <c r="C7" s="561" t="str">
        <f>IF(Lang="Français","Fusée",IF(Lang="English","Rocket",""))</f>
        <v>Fusée</v>
      </c>
      <c r="D7" s="562"/>
      <c r="L7" s="139" t="str">
        <f>IF(Lang="Français","Diamètre     'D1'",IF(Lang="English","Diameter 'D1'",""))</f>
        <v>Diamètre     'D1'</v>
      </c>
      <c r="M7" s="554">
        <f>D_og</f>
        <v>59</v>
      </c>
      <c r="N7" s="555"/>
      <c r="O7" s="575">
        <f>D2j</f>
        <v>80</v>
      </c>
      <c r="P7" s="575"/>
      <c r="Q7" s="29"/>
    </row>
    <row r="8" spans="1:20" ht="12.75" customHeight="1" thickTop="1" x14ac:dyDescent="0.3">
      <c r="A8" s="25"/>
      <c r="B8" s="138" t="str">
        <f>IF(Lang="Français","Nom",IF(Lang="English","Name",""))</f>
        <v>Nom</v>
      </c>
      <c r="C8" s="556" t="s">
        <v>159</v>
      </c>
      <c r="D8" s="556"/>
      <c r="E8" s="90"/>
      <c r="K8" s="33"/>
      <c r="L8" s="139" t="str">
        <f>IF(Lang="Français","Diamètre     'D2'",IF(Lang="English","Diameter 'D2'",""))</f>
        <v>Diamètre     'D2'</v>
      </c>
      <c r="M8" s="554">
        <v>80</v>
      </c>
      <c r="N8" s="555"/>
      <c r="O8" s="575">
        <f>D_og</f>
        <v>59</v>
      </c>
      <c r="P8" s="575"/>
      <c r="Q8" s="29"/>
    </row>
    <row r="9" spans="1:20" ht="12.75" customHeight="1" x14ac:dyDescent="0.3">
      <c r="A9" s="25"/>
      <c r="B9" s="138" t="s">
        <v>4</v>
      </c>
      <c r="C9" s="557" t="s">
        <v>163</v>
      </c>
      <c r="D9" s="557"/>
      <c r="E9" s="90"/>
      <c r="K9" s="33"/>
      <c r="L9" s="139" t="str">
        <f>IF(Lang="Français","Implantation 'x'",IF(Lang="English","Basement 'x'",""))</f>
        <v>Implantation 'x'</v>
      </c>
      <c r="M9" s="554">
        <v>300</v>
      </c>
      <c r="N9" s="555"/>
      <c r="O9" s="575">
        <v>500</v>
      </c>
      <c r="P9" s="575"/>
      <c r="Q9" s="29"/>
    </row>
    <row r="10" spans="1:20" ht="12.75" customHeight="1" x14ac:dyDescent="0.3">
      <c r="A10" s="25"/>
      <c r="B10" s="138" t="s">
        <v>568</v>
      </c>
      <c r="C10" s="537" t="str">
        <f>IF((LEFT(Type_fusee,4)="Mini"),"MF",(IF((RIGHT(Type_fusee,1)="."),"FX","")))</f>
        <v>MF</v>
      </c>
      <c r="D10" s="538">
        <v>0</v>
      </c>
      <c r="E10" s="539" t="str">
        <f>IF(C10="","",C10&amp;D10)</f>
        <v>MF0</v>
      </c>
      <c r="K10" s="33"/>
      <c r="Q10" s="29"/>
    </row>
    <row r="11" spans="1:20" ht="12.75" customHeight="1" x14ac:dyDescent="0.3">
      <c r="A11" s="25"/>
      <c r="B11" s="139" t="s">
        <v>54</v>
      </c>
      <c r="C11" s="563" t="s">
        <v>544</v>
      </c>
      <c r="D11" s="564"/>
      <c r="E11" s="90"/>
      <c r="K11" s="33"/>
      <c r="L11" s="107"/>
      <c r="M11" s="224" t="str">
        <f>IF(Lang="Français","Propu plein",IF(Lang="English","Loaded Motor",""))</f>
        <v>Propu plein</v>
      </c>
      <c r="N11" s="592" t="str">
        <f>IF(Lang="Français","Propu vide",IF(Lang="English","Empty Motor",""))</f>
        <v>Propu vide</v>
      </c>
      <c r="O11" s="593"/>
      <c r="P11" s="224" t="str">
        <f>IF(Lang="Français","Sans propu",IF(Lang="English","Without M",""))</f>
        <v>Sans propu</v>
      </c>
      <c r="Q11" s="29"/>
      <c r="S11" s="385"/>
      <c r="T11" s="386" t="str">
        <f>IF(Lang="Français","Propulseur",IF(Lang="English","Motor",""))</f>
        <v>Propulseur</v>
      </c>
    </row>
    <row r="12" spans="1:20" ht="12.75" customHeight="1" x14ac:dyDescent="0.3">
      <c r="A12" s="25"/>
      <c r="B12" s="139" t="str">
        <f>IF(Lang="Français","Masse",IF(Lang="English","Weight",""))</f>
        <v>Masse</v>
      </c>
      <c r="C12" s="222">
        <v>359</v>
      </c>
      <c r="D12" s="34" t="s">
        <v>425</v>
      </c>
      <c r="L12" s="108" t="str">
        <f>IF(Lang="Français","Masse propu",IF(Lang="English","Motor Mass",""))</f>
        <v>Masse propu</v>
      </c>
      <c r="M12" s="109">
        <f ca="1">MpropuPlein</f>
        <v>9.9000000000000005E-2</v>
      </c>
      <c r="N12" s="587">
        <f ca="1">MpropuVide</f>
        <v>6.8000000000000005E-2</v>
      </c>
      <c r="O12" s="588"/>
      <c r="P12" s="110" t="s">
        <v>14</v>
      </c>
      <c r="Q12" s="29"/>
      <c r="S12" s="386" t="str">
        <f>IF(Lang="Français","Haut",IF(Lang="English","Top",""))</f>
        <v>Haut</v>
      </c>
      <c r="T12" s="387">
        <f ca="1">XpropuRef-Long_propu</f>
        <v>903</v>
      </c>
    </row>
    <row r="13" spans="1:20" ht="12.75" customHeight="1" x14ac:dyDescent="0.3">
      <c r="A13" s="25"/>
      <c r="B13" s="139" t="str">
        <f>IF(Lang="Français","Centre de Masse",IF(Lang="English","Center of Mass",""))</f>
        <v>Centre de Masse</v>
      </c>
      <c r="C13" s="35">
        <v>639</v>
      </c>
      <c r="D13" s="34" t="s">
        <v>425</v>
      </c>
      <c r="L13" s="108" t="str">
        <f>IF(Lang="Français","CdM propu",IF(Lang="English","Motor CoM",""))</f>
        <v>CdM propu</v>
      </c>
      <c r="M13" s="111">
        <f ca="1">XpropuPlein</f>
        <v>49</v>
      </c>
      <c r="N13" s="585">
        <f ca="1">XpropuVide</f>
        <v>49</v>
      </c>
      <c r="O13" s="586"/>
      <c r="P13" s="110" t="s">
        <v>14</v>
      </c>
      <c r="Q13" s="29"/>
      <c r="S13" s="386" t="str">
        <f>IF(Lang="Français","Longueur",IF(Lang="English","Length",""))</f>
        <v>Longueur</v>
      </c>
      <c r="T13" s="387">
        <f ca="1">Long_propu</f>
        <v>98</v>
      </c>
    </row>
    <row r="14" spans="1:20" ht="12.55" customHeight="1" x14ac:dyDescent="0.3">
      <c r="A14" s="25"/>
      <c r="B14" s="139" t="str">
        <f>IF(Lang="Français","Longueur totale",IF(Lang="English","Total length",""))</f>
        <v>Longueur totale</v>
      </c>
      <c r="C14" s="554">
        <v>1001</v>
      </c>
      <c r="D14" s="555"/>
      <c r="L14" s="108" t="str">
        <f>IF(Lang="Français","Masse fusée",IF(Lang="English","Rocket Mass",""))</f>
        <v>Masse fusée</v>
      </c>
      <c r="M14" s="112">
        <f ca="1">MasseSans+MpropuPlein</f>
        <v>0.45799999999999996</v>
      </c>
      <c r="N14" s="567">
        <f ca="1">MasseSans+MpropuVide</f>
        <v>0.42699999999999999</v>
      </c>
      <c r="O14" s="568"/>
      <c r="P14" s="109">
        <f>IF(OR(D12="sans propu",D12="without motor"),C12/1000,IF(OR(D12="avec propu vide",D12="with empty motor"),C12/1000-MpropuVide,IF(OR(D12="avec propu plein",D12="with loaded motor"),C12/1000-MpropuPlein,"Erreur")))</f>
        <v>0.35899999999999999</v>
      </c>
      <c r="Q14" s="29"/>
      <c r="S14" s="386" t="str">
        <f>IF(Lang="Français","Bas",IF(Lang="English","Base",""))</f>
        <v>Bas</v>
      </c>
      <c r="T14" s="387">
        <f>XpropuRef</f>
        <v>1001</v>
      </c>
    </row>
    <row r="15" spans="1:20" ht="12.75" customHeight="1" x14ac:dyDescent="0.3">
      <c r="A15" s="25"/>
      <c r="B15" s="139" t="str">
        <f>IF(Lang="Français","Diamètre Réf.",IF(Lang="English","Ref. Diameter",""))</f>
        <v>Diamètre Réf.</v>
      </c>
      <c r="C15" s="554">
        <f>D_og</f>
        <v>59</v>
      </c>
      <c r="D15" s="555"/>
      <c r="L15" s="175" t="str">
        <f>IF(Lang="Français","CdM fusée",IF(Lang="English","Rocket CoM",""))</f>
        <v>CdM fusée</v>
      </c>
      <c r="M15" s="176">
        <f ca="1">(XcgSans*MasseSans+(XpropuRef-Long_propu+XpropuPlein)*MpropuPlein)/MassePlein</f>
        <v>706.65720524017468</v>
      </c>
      <c r="N15" s="569">
        <f ca="1">(XcgSans*MasseSans+(XpropuRef-Long_propu+XpropuVide)*MpropuVide)/MasseVide</f>
        <v>688.84543325526931</v>
      </c>
      <c r="O15" s="570"/>
      <c r="P15" s="113">
        <f>IF(OR(D13="sans propu",D13="without motor"),C13,IF(OR(D13="avec propu vide",D13="with empty motor"),(C13*MasseVide-(XpropuRef-Long_propu+XpropuVide)*MpropuVide)/MasseSans,IF(OR(D13="avec propu plein",D13="with loaded motor"),(C13*MassePlein-(XpropuRef-Long_propu+XpropuPlein)*MpropuPlein)/MasseSans,"Erreur")))</f>
        <v>639</v>
      </c>
      <c r="Q15" s="29"/>
    </row>
    <row r="16" spans="1:20" ht="12.75" customHeight="1" thickBot="1" x14ac:dyDescent="0.35">
      <c r="A16" s="25"/>
      <c r="D16" s="31"/>
      <c r="L16" s="94"/>
      <c r="M16" s="94"/>
      <c r="N16" s="94"/>
      <c r="O16" s="94"/>
      <c r="P16" s="94"/>
      <c r="Q16" s="29"/>
      <c r="S16" s="385"/>
      <c r="T16" s="386" t="str">
        <f>IF(RIGHT(Type_masquage,1)=",",IF(Lang="Français","Ailerons","Fins"),IF(Lang="Français","Ailerons bas","Lower Fins"))</f>
        <v>Ailerons bas</v>
      </c>
    </row>
    <row r="17" spans="1:20" ht="12.75" customHeight="1" thickTop="1" thickBot="1" x14ac:dyDescent="0.35">
      <c r="A17" s="25"/>
      <c r="C17" s="542" t="str">
        <f>IF(Lang="Français","Propulseur",IF(Lang="English","Motor",""))</f>
        <v>Propulseur</v>
      </c>
      <c r="D17" s="543"/>
      <c r="L17" s="114"/>
      <c r="M17" s="571" t="s">
        <v>55</v>
      </c>
      <c r="N17" s="572"/>
      <c r="O17" s="595" t="s">
        <v>65</v>
      </c>
      <c r="P17" s="595"/>
      <c r="Q17" s="29"/>
      <c r="S17" s="386" t="str">
        <f>IF(Lang="Français","Haut","Top")</f>
        <v>Haut</v>
      </c>
      <c r="T17" s="387">
        <f>X_ail-m_ail</f>
        <v>892</v>
      </c>
    </row>
    <row r="18" spans="1:20" ht="12.75" customHeight="1" thickTop="1" x14ac:dyDescent="0.3">
      <c r="A18" s="25"/>
      <c r="B18" s="139" t="s">
        <v>54</v>
      </c>
      <c r="C18" s="544" t="s">
        <v>387</v>
      </c>
      <c r="D18" s="545"/>
      <c r="K18" s="37"/>
      <c r="L18" s="108" t="str">
        <f>IF(Lang="Français","Coiffe",IF(Lang="English","Nose Cone",""))</f>
        <v>Coiffe</v>
      </c>
      <c r="M18" s="547">
        <f>IF(LEFT(Forme_ogive,5)="Parab",1/2*Long_ogive,IF(LEFT(Forme_ogive,4)="Ogiv",7/15*Long_ogive,IF(LEFT(Forme_ogive,3)="Con",2/3*Long_ogive)))</f>
        <v>92.866666666666674</v>
      </c>
      <c r="N18" s="548"/>
      <c r="O18" s="546">
        <f>2*POWER(D_og/D_ref, 2)</f>
        <v>2</v>
      </c>
      <c r="P18" s="546"/>
      <c r="Q18" s="29"/>
      <c r="S18" s="386" t="str">
        <f>IF(Lang="Français","Emplanture","Root edge")</f>
        <v>Emplanture</v>
      </c>
      <c r="T18" s="387">
        <f>m_ail</f>
        <v>109</v>
      </c>
    </row>
    <row r="19" spans="1:20" ht="12.75" customHeight="1" x14ac:dyDescent="0.3">
      <c r="A19" s="25"/>
      <c r="B19" s="139" t="str">
        <f>IF(Lang="Français","Position du bas",IF(Lang="English","Basement",""))</f>
        <v>Position du bas</v>
      </c>
      <c r="C19" s="575">
        <f>Long_tot</f>
        <v>1001</v>
      </c>
      <c r="D19" s="575"/>
      <c r="L19" s="108" t="str">
        <f>IF(Lang="Français","Ailerons",IF(Lang="English","Fins",""))</f>
        <v>Ailerons</v>
      </c>
      <c r="M19" s="547">
        <f>(XCpa*Cnail-0.5*XCpi*Cni)/Cnai</f>
        <v>962.7132936507935</v>
      </c>
      <c r="N19" s="548"/>
      <c r="O19" s="549">
        <f>Cnail-Cni/2</f>
        <v>19.497524281832401</v>
      </c>
      <c r="P19" s="550"/>
      <c r="Q19" s="29"/>
      <c r="S19" s="386" t="str">
        <f>IF(Lang="Français","Bas","Base")</f>
        <v>Bas</v>
      </c>
      <c r="T19" s="387">
        <f>X_ail</f>
        <v>1001</v>
      </c>
    </row>
    <row r="20" spans="1:20" ht="12.75" customHeight="1" thickBot="1" x14ac:dyDescent="0.35">
      <c r="A20" s="25"/>
      <c r="B20" s="428" t="str">
        <f>IF(Propu="Cariacou","Cariacou :"," ")</f>
        <v xml:space="preserve"> </v>
      </c>
      <c r="C20" s="576" t="str">
        <f>IF(Propu="Pandora (Pro24-6G)",IF(Lang="Français","C'Space Seulement",IF(Lang="English","C'Space only","")),"")</f>
        <v/>
      </c>
      <c r="D20" s="576"/>
      <c r="L20" s="108" t="str">
        <f>IF(Lang="Français","Ail bas entier",IF(Lang="English","Total Lower Fins",""))</f>
        <v>Ail bas entier</v>
      </c>
      <c r="M20" s="547">
        <f>X_ail-m_ail+p_ail*(m_ail+2*n_ail)/(3*(m_ail+n_ail))+(m_ail+n_ail-m_ail*n_ail/(m_ail+n_ail))/6</f>
        <v>962.71329365079362</v>
      </c>
      <c r="N20" s="548"/>
      <c r="O20" s="546">
        <f>4*Q_ail*POWER((E_ail/D_ref),2)*(1+D_ail/(2*E_ail+D_ail))/(1+SQRT(1+POWER(2*f_ail/(m_ail+n_ail),2)))</f>
        <v>19.497524281832401</v>
      </c>
      <c r="P20" s="546"/>
      <c r="Q20" s="29"/>
    </row>
    <row r="21" spans="1:20" ht="12.75" customHeight="1" thickTop="1" thickBot="1" x14ac:dyDescent="0.35">
      <c r="A21" s="25"/>
      <c r="B21" s="30"/>
      <c r="C21" s="551" t="str">
        <f>IF(Lang="Français","Coiffe",IF(Lang="English","Nose Cone",""))</f>
        <v>Coiffe</v>
      </c>
      <c r="D21" s="552"/>
      <c r="L21" s="108" t="str">
        <f>IF(Lang="Français","Ailerons haut",IF(Lang="English","Upper Fins",""))</f>
        <v>Ailerons haut</v>
      </c>
      <c r="M21" s="547">
        <f>IF(LEFT(Type_masquage,1)="M",0, X_can-m_can+p_can*(m_can+2*n_can)/(3*(m_can+n_can))+(m_can+n_can-m_can*n_can/(m_can+n_can))/6)</f>
        <v>0</v>
      </c>
      <c r="N21" s="548"/>
      <c r="O21" s="546">
        <f>IF(LEFT(Type_masquage,1)="M",0, 4*Q_can*POWER((E_can/D_ref),2)*(1+D_can/(2*E_can+D_can))/(1+SQRT(1+POWER(2*f_can/(m_can+n_can),2))))</f>
        <v>0</v>
      </c>
      <c r="P21" s="546"/>
      <c r="Q21" s="29"/>
    </row>
    <row r="22" spans="1:20" ht="12.75" customHeight="1" thickTop="1" x14ac:dyDescent="0.3">
      <c r="A22" s="25"/>
      <c r="B22" s="139" t="str">
        <f>IF(Lang="Français","Forme",IF(Lang="English","Shape",""))</f>
        <v>Forme</v>
      </c>
      <c r="C22" s="577" t="s">
        <v>550</v>
      </c>
      <c r="D22" s="578"/>
      <c r="L22" s="108" t="str">
        <f>IF(Lang="Français","Partie masquée",IF(Lang="English","Interation zone",""))</f>
        <v>Partie masquée</v>
      </c>
      <c r="M22" s="560">
        <f>IF(LEFT(Type_masquage,1)="B", X_int-m_int+p_int*(m_int+2*n_int)/(3*(m_int+n_int))+(m_int+n_int-m_int*n_int/(m_int+n_int))/6, 0 )</f>
        <v>0</v>
      </c>
      <c r="N22" s="560"/>
      <c r="O22" s="549">
        <f>IF(LEFT(Type_masquage,1)="B", 4*Q_int*POWER((E_int/D_ref),2)*(1+D_int/(2*E_int+D_int))/(1+SQRT(1+POWER(2*f_int/(m_int+n_int),2))), 0 )</f>
        <v>0</v>
      </c>
      <c r="P22" s="550"/>
      <c r="Q22" s="29"/>
    </row>
    <row r="23" spans="1:20" ht="12.75" customHeight="1" x14ac:dyDescent="0.3">
      <c r="A23" s="25"/>
      <c r="B23" s="139" t="str">
        <f>IF(Lang="Français","Hauteur",IF(Lang="English","Heigth",""))</f>
        <v>Hauteur</v>
      </c>
      <c r="C23" s="554">
        <v>199</v>
      </c>
      <c r="D23" s="555"/>
      <c r="L23" s="108" t="s">
        <v>156</v>
      </c>
      <c r="M23" s="547">
        <f>IF(OR(RIGHT(Nb_diam,1)=",",D2j=0),0, X_j+l_j/3*(1+1/(1+D1j/D2j)) )</f>
        <v>0</v>
      </c>
      <c r="N23" s="548"/>
      <c r="O23" s="546">
        <f>IF(OR(RIGHT(Nb_diam,1)=",",D2j=0),0,2*(POWER(D2j/D_ref,2)-POWER(D1j/D_ref,2)))</f>
        <v>0</v>
      </c>
      <c r="P23" s="546"/>
      <c r="Q23" s="29"/>
    </row>
    <row r="24" spans="1:20" ht="12.75" customHeight="1" thickBot="1" x14ac:dyDescent="0.35">
      <c r="A24" s="25"/>
      <c r="B24" s="139" t="str">
        <f>IF(Lang="Français","Diamètre",IF(Lang="English","Diameter",""))</f>
        <v>Diamètre</v>
      </c>
      <c r="C24" s="554">
        <v>59</v>
      </c>
      <c r="D24" s="555"/>
      <c r="L24" s="108" t="s">
        <v>157</v>
      </c>
      <c r="M24" s="547">
        <f>IF( OR(RIGHT(Nb_diam,1)=",",D2r=0), 0, X_r+l_r/3*(1+1/(1+D1r/D2r)) )</f>
        <v>0</v>
      </c>
      <c r="N24" s="548"/>
      <c r="O24" s="546">
        <f>IF( OR(RIGHT(Nb_diam,1)=",",D2r=0), 0, 2*(POWER(D2r/D_ref,2)-POWER(D1r/D_ref,2)) )</f>
        <v>0</v>
      </c>
      <c r="P24" s="546"/>
      <c r="Q24" s="29"/>
    </row>
    <row r="25" spans="1:20" ht="12.75" customHeight="1" thickBot="1" x14ac:dyDescent="0.35">
      <c r="A25" s="25"/>
      <c r="E25" s="180" t="s">
        <v>151</v>
      </c>
      <c r="L25" s="38"/>
      <c r="M25" s="38"/>
      <c r="N25" s="38"/>
      <c r="Q25" s="29"/>
      <c r="R25" s="38"/>
      <c r="S25" s="388" t="str">
        <f ca="1">IF(AND(Portee_balistique&gt;200,LEFT(Type_propu,3)="Min"),IF(Lang="Français","Fusée trop lègère !","Rocket too light"),"")</f>
        <v/>
      </c>
    </row>
    <row r="26" spans="1:20" ht="12.75" customHeight="1" thickTop="1" thickBot="1" x14ac:dyDescent="0.35">
      <c r="A26" s="25"/>
      <c r="B26" s="30"/>
      <c r="C26" s="178" t="str">
        <f>IF(LEFT(Type_masquage,1)="M",IF(Lang="Français","Ailerons","Fins"),IF(Lang="Français","Ailerons bas","Lower Fins"))</f>
        <v>Ailerons</v>
      </c>
      <c r="D26" s="179" t="str">
        <f>IF(Lang="Français","Ailerons haut",IF(Lang="English","Upper Fins",""))</f>
        <v>Ailerons haut</v>
      </c>
      <c r="F26" s="39">
        <f ca="1">TODAY()</f>
        <v>45325</v>
      </c>
      <c r="G26" s="137" t="s">
        <v>62</v>
      </c>
      <c r="H26" s="541" t="str">
        <f>IF(Lang="Français","Résultats",IF(Lang="English","Results",""))</f>
        <v>Résultats</v>
      </c>
      <c r="I26" s="541"/>
      <c r="J26" s="137" t="s">
        <v>63</v>
      </c>
      <c r="K26" s="32"/>
      <c r="L26" s="38"/>
      <c r="M26" s="38"/>
      <c r="N26" s="38"/>
      <c r="Q26" s="29"/>
      <c r="R26" s="38"/>
      <c r="S26" s="388" t="str">
        <f ca="1">IF(AND(Vsortie_de_rampe&lt;18, OR(LEFT(Type_fusee,1)=",",LEFT(Type_fusee,4)="Mini",LEFT(Type_fusee,1)="R")),IF(Lang="Français","Fusée trop lourde ou rampe trop courte !","Rocket too heavy or launch pad too small!"),"")</f>
        <v/>
      </c>
    </row>
    <row r="27" spans="1:20" ht="12.75" customHeight="1" thickTop="1" x14ac:dyDescent="0.3">
      <c r="A27" s="25"/>
      <c r="B27" s="30"/>
      <c r="C27" s="573" t="s">
        <v>426</v>
      </c>
      <c r="D27" s="574"/>
      <c r="E27" s="146">
        <f>m_ail</f>
        <v>109</v>
      </c>
      <c r="F27" s="105" t="s">
        <v>64</v>
      </c>
      <c r="G27" s="104">
        <f>IF(RIGHT(Type_fusee,1)=".",10, IF(OR(LEFT(Type_fusee,1)="R",LEFT(Type_fusee,1)=",",LEFT(Type_fusee,4)="Mini"),10, IF(LEFT(Type_fusee,5)="Micro",10, IF(RIGHT(Type_fusee,1)=" ",1))))</f>
        <v>10</v>
      </c>
      <c r="H27" s="589">
        <f>Long_tot/D_ref</f>
        <v>16.966101694915253</v>
      </c>
      <c r="I27" s="590"/>
      <c r="J27" s="104">
        <f>IF(RIGHT(Type_fusee,1)=".",35, IF(OR(LEFT(Type_fusee,1)="R",LEFT(Type_fusee,1)=",",LEFT(Type_fusee,4)="Mini"),20, IF(LEFT(Type_fusee,5)="Micro",30, IF(RIGHT(Type_fusee,1)=" ",100))))</f>
        <v>20</v>
      </c>
      <c r="K27" s="32"/>
      <c r="L27" s="38"/>
      <c r="M27" s="38"/>
      <c r="N27" s="38"/>
      <c r="Q27" s="29"/>
      <c r="R27" s="38"/>
      <c r="S27" s="388" t="str">
        <f>IF(Finesse&lt;CritFinessemin, IF(Lang="Français","Fusée trop courte !","Rocket too short!"), "" ) &amp; IF(Finesse&gt;CritFinessemax, IF(Lang="Français","Fusée trop longue !","Rocket too long!"), "" )</f>
        <v/>
      </c>
    </row>
    <row r="28" spans="1:20" ht="12.75" customHeight="1" x14ac:dyDescent="0.3">
      <c r="A28" s="25"/>
      <c r="B28" s="524" t="str">
        <f>IF(Lang="Français"," Emplanture  'm'",IF(Lang="English"," Root edge  'm'",""))</f>
        <v xml:space="preserve"> Emplanture  'm'</v>
      </c>
      <c r="C28" s="177">
        <v>109</v>
      </c>
      <c r="D28" s="177">
        <v>70</v>
      </c>
      <c r="E28" s="146">
        <f>n_ail+(m_ail-n_ail)*(1-E_int/E_ail)</f>
        <v>83.74747474747474</v>
      </c>
      <c r="F28" s="105" t="str">
        <f>IF(Lang="Français","Portance","Lift")</f>
        <v>Portance</v>
      </c>
      <c r="G28" s="104">
        <f>IF(RIGHT(Type_fusee,1)=".",15,IF(OR(LEFT(Type_fusee,1)="R",LEFT(Type_fusee,1)=",",LEFT(Type_fusee,4)="Mini"),15, IF(LEFT(Type_fusee,5)="Micro",15, IF(RIGHT(Type_fusee,1)=" ",15))))</f>
        <v>15</v>
      </c>
      <c r="H28" s="508">
        <f>Cnai+Cnc+Cno+Cnj+Cnr</f>
        <v>21.497524281832401</v>
      </c>
      <c r="I28" s="508">
        <f>Cnail+Cnc+Cno+Cnj+Cnr</f>
        <v>21.497524281832401</v>
      </c>
      <c r="J28" s="104">
        <f>IF(RIGHT(Type_fusee,1)=".",40, IF(OR(LEFT(Type_fusee,1)="R",LEFT(Type_fusee,1)=",",LEFT(Type_fusee,4)="Mini"),30, IF(LEFT(Type_fusee,5)="Micro",30, IF(RIGHT(Type_fusee,1)=" ",30))))</f>
        <v>30</v>
      </c>
      <c r="K28" s="32"/>
      <c r="L28" s="38"/>
      <c r="M28" s="38"/>
      <c r="N28" s="38"/>
      <c r="Q28" s="29"/>
      <c r="R28" s="38"/>
      <c r="S28" s="388" t="str">
        <f>IF(Cn&lt;CritCnmin, IF(Lang="Français","Ailerons trop petits !","Fins too small!"), "" ) &amp; IF(Cn&gt;CritCnmax, IF(Lang="Français","Ailerons trop grands !","Fins too big!"), "" )</f>
        <v/>
      </c>
    </row>
    <row r="29" spans="1:20" ht="12.75" customHeight="1" x14ac:dyDescent="0.3">
      <c r="A29" s="25"/>
      <c r="B29" s="524" t="str">
        <f>IF(Lang="Français"," Saumon       'n'",IF(Lang="English"," Tip edge    'n'",""))</f>
        <v xml:space="preserve"> Saumon       'n'</v>
      </c>
      <c r="C29" s="35">
        <v>59</v>
      </c>
      <c r="D29" s="35">
        <v>10</v>
      </c>
      <c r="E29" s="146">
        <f>p_ail*E_int/E_ail</f>
        <v>55.050505050505052</v>
      </c>
      <c r="F29" s="515" t="str">
        <f>IF(Lang="Français","MargeStat.","StatMargin")</f>
        <v>MargeStat.</v>
      </c>
      <c r="G29" s="510">
        <f>IF(RIGHT(Type_fusee,1)=".",2, IF(OR(LEFT(Type_fusee,1)="R",LEFT(Type_fusee,1)=",",LEFT(Type_fusee,4)="Mini"),1.5, IF(LEFT(Type_fusee,5)="Micro",1, IF(RIGHT(Type_fusee,1)=" ",1))))</f>
        <v>1.5</v>
      </c>
      <c r="H29" s="97">
        <f ca="1">(XCp-XcgPlein)/D_ref</f>
        <v>2.9683187218483851</v>
      </c>
      <c r="I29" s="98">
        <f ca="1">(XCp0-XcgVide)/D_ref</f>
        <v>3.27021316227051</v>
      </c>
      <c r="J29" s="510">
        <f>IF(RIGHT(Type_fusee,1)=".",6, IF(OR(LEFT(Type_fusee,1)="R",LEFT(Type_fusee,1)=",",LEFT(Type_fusee,4)="Mini"),6, IF(LEFT(Type_fusee,5)="Micro",3, IF(RIGHT(Type_fusee,1)=" ",3))))</f>
        <v>6</v>
      </c>
      <c r="K29" s="32"/>
      <c r="Q29" s="29"/>
      <c r="R29" s="38"/>
      <c r="S29" s="388" t="str">
        <f ca="1">IF(MS_min&lt;CritMsmin, IF(Lang="Français","Abaisser les ailerons ou rehausser le CdM !","Lower the fins or move up the center of mass!"), "" ) &amp; IF(MS_max&gt;CritMsmax, IF(Lang="Français","Rehausser les ailerons ou abaisser le CdM !","Move up the fins or lower the center of mass!"), "" )</f>
        <v/>
      </c>
    </row>
    <row r="30" spans="1:20" ht="12.75" customHeight="1" x14ac:dyDescent="0.3">
      <c r="A30" s="25"/>
      <c r="B30" s="524" t="str">
        <f>IF(Lang="Français"," Flèche          'p'"," Offset         'p'")</f>
        <v xml:space="preserve"> Flèche          'p'</v>
      </c>
      <c r="C30" s="35">
        <v>109</v>
      </c>
      <c r="D30" s="35">
        <v>40</v>
      </c>
      <c r="E30" s="146">
        <f>IF(D_can/2+E_can&lt;=D_ail/2,0, IF(D_can/2+E_can&gt;=D_ail/2+E_ail,E_ail,  D_can/2+E_can - D_ail/2  ) )</f>
        <v>50</v>
      </c>
      <c r="F30" s="516" t="str">
        <f>IF(Lang="Français","Couple","Torque")</f>
        <v>Couple</v>
      </c>
      <c r="G30" s="511">
        <f>IF(RIGHT(Type_fusee,1)=".",40, IF(OR(LEFT(Type_fusee,1)="R",LEFT(Type_fusee,1)=",",LEFT(Type_fusee,4)="Mini"),30, IF(LEFT(Type_fusee,5)="Micro",15, IF(RIGHT(Type_fusee,1)=" ",15))))</f>
        <v>30</v>
      </c>
      <c r="H30" s="99">
        <f ca="1">MS_min*Cn</f>
        <v>63.811503799153378</v>
      </c>
      <c r="I30" s="96">
        <f ca="1">MS_max*Cn0</f>
        <v>70.301486862678217</v>
      </c>
      <c r="J30" s="511">
        <f>IF(RIGHT(Type_fusee,1)=".",100, IF(OR(LEFT(Type_fusee,1)="R",LEFT(Type_fusee,1)=",",LEFT(Type_fusee,4)="Mini"),100, IF(LEFT(Type_fusee,5)="Micro",100, IF(RIGHT(Type_fusee,1)=" ",90))))</f>
        <v>100</v>
      </c>
      <c r="K30" s="32"/>
      <c r="Q30" s="29"/>
      <c r="R30" s="38"/>
      <c r="S30" s="388" t="str">
        <f ca="1">IF(MS_Cn_min&lt;CritMsCnmin, IF(Lang="Français","Ailerons trop petits ou trop haut /CdM !","Fins too small or too high /CoM!"), "" ) &amp; IF(MS_Cn_max&gt;CritMsCnmax, IF(Lang="Français","Ailerons trop grands ou trop bas  /CdM !","Fins too big or too low / CoM!"), "" )</f>
        <v/>
      </c>
    </row>
    <row r="31" spans="1:20" ht="12.75" customHeight="1" x14ac:dyDescent="0.3">
      <c r="A31" s="25"/>
      <c r="B31" s="524" t="str">
        <f>IF(Lang="Français"," Envergure     'E'",IF(Lang="English"," Span          'E'",""))</f>
        <v xml:space="preserve"> Envergure     'E'</v>
      </c>
      <c r="C31" s="35">
        <v>99</v>
      </c>
      <c r="D31" s="35">
        <v>50</v>
      </c>
      <c r="E31" s="146">
        <f>ep_ail</f>
        <v>2</v>
      </c>
      <c r="F31" s="106" t="s">
        <v>55</v>
      </c>
      <c r="G31" s="103"/>
      <c r="H31" s="509">
        <f>(Cnai*XCpai+Cnc*XCpc+Cnj*XCpj+Cnr*XCpr+Cno*XCpo)/(Cnai+Cnc+Cnr+Cnj+Cno)</f>
        <v>881.7880098292294</v>
      </c>
      <c r="I31" s="509">
        <f>(Cnail*XCpa+Cnc*XCpc+Cnj*XCpj+Cnr*XCpr+Cno*XCpo)/(Cnail+Cnc+Cnr+Cnj+Cno)</f>
        <v>881.7880098292294</v>
      </c>
      <c r="J31" s="102"/>
      <c r="K31" s="32"/>
      <c r="Q31" s="29"/>
      <c r="R31" s="38"/>
      <c r="S31" s="388"/>
    </row>
    <row r="32" spans="1:20" ht="12.75" customHeight="1" x14ac:dyDescent="0.3">
      <c r="A32" s="25"/>
      <c r="B32" s="525" t="str">
        <f>IF(Lang="Français"," Epaisseur     'ep'",IF(Lang="English"," Thickness  'ep'",""))</f>
        <v xml:space="preserve"> Epaisseur     'ep'</v>
      </c>
      <c r="C32" s="35">
        <v>2</v>
      </c>
      <c r="D32" s="35">
        <v>2</v>
      </c>
      <c r="E32" s="146">
        <f>IF(Q_ail=Q_can,Q_ail,FALSE)</f>
        <v>4</v>
      </c>
      <c r="F32" s="106" t="s">
        <v>66</v>
      </c>
      <c r="G32" s="103"/>
      <c r="H32" s="100">
        <f ca="1">(XCp-XcgPlein)/Long_tot*100</f>
        <v>17.49558487403144</v>
      </c>
      <c r="I32" s="101">
        <f ca="1">(XCp-XcgVide)/Long_tot*100</f>
        <v>19.274982674721286</v>
      </c>
      <c r="J32" s="102"/>
      <c r="K32" s="32"/>
      <c r="Q32" s="29"/>
      <c r="R32" s="38"/>
    </row>
    <row r="33" spans="1:23" ht="12.75" customHeight="1" x14ac:dyDescent="0.3">
      <c r="A33" s="25"/>
      <c r="B33" s="524" t="str">
        <f>IF(Lang="Français"," Nombre            ",IF(Lang="English"," Number of fins",""))</f>
        <v xml:space="preserve"> Nombre            </v>
      </c>
      <c r="C33" s="36">
        <v>4</v>
      </c>
      <c r="D33" s="36">
        <v>4</v>
      </c>
      <c r="E33" s="146">
        <f>X_ail</f>
        <v>1001</v>
      </c>
      <c r="G33" s="24"/>
      <c r="H33" s="579" t="str">
        <f ca="1">IF(AND(CritCnmin&lt;Cn,Cn0&lt;CritCnmax,CritMsmin&lt;MS_min,MS_max&lt;CritMsmax,CritMsCnmin&lt;MS_Cn_min,MS_Cn_max&lt;CritMsCnmax),"STABLE",IF(OR(Cn&lt;CritCnmin,MS_min&lt;CritMsmin,MS_Cn_min&lt;CritMsCnmin),"INSTABLE",IF(Lang="Français","SURSTABLE","OVERSTABLE")))</f>
        <v>STABLE</v>
      </c>
      <c r="I33" s="580"/>
      <c r="J33" s="31"/>
      <c r="K33" s="32"/>
      <c r="Q33" s="29"/>
      <c r="R33" s="38"/>
    </row>
    <row r="34" spans="1:23" ht="12.75" customHeight="1" x14ac:dyDescent="0.3">
      <c r="A34" s="25"/>
      <c r="B34" s="524" t="str">
        <f>IF(Lang="Français"," Position du bas",IF(Lang="English"," Basement",""))</f>
        <v xml:space="preserve"> Position du bas</v>
      </c>
      <c r="C34" s="35">
        <f>Long_tot</f>
        <v>1001</v>
      </c>
      <c r="D34" s="35">
        <v>700</v>
      </c>
      <c r="E34" s="146">
        <f>D_ail</f>
        <v>59</v>
      </c>
      <c r="G34" s="24"/>
      <c r="H34" s="581"/>
      <c r="I34" s="582"/>
      <c r="K34" s="32"/>
      <c r="Q34" s="29"/>
      <c r="R34" s="38"/>
    </row>
    <row r="35" spans="1:23" ht="12.75" customHeight="1" x14ac:dyDescent="0.3">
      <c r="A35" s="25"/>
      <c r="B35" s="524" t="str">
        <f>IF(Lang="Français"," Diamètre         ",IF(Lang="English"," Diameter at Fins",""))</f>
        <v xml:space="preserve"> Diamètre         </v>
      </c>
      <c r="C35" s="35">
        <f>D_ref</f>
        <v>59</v>
      </c>
      <c r="D35" s="35">
        <f>D_ref</f>
        <v>59</v>
      </c>
      <c r="E35" s="146">
        <f>SQRT(POWER(p_int+n_int/2-m_int/2,2)+POWER(E_int,2))</f>
        <v>65.572984873886057</v>
      </c>
      <c r="K35" s="32"/>
      <c r="Q35" s="29"/>
      <c r="R35" s="38"/>
      <c r="W35" s="24" t="str">
        <f>RIGHT(Type_fusee,1="R")</f>
        <v/>
      </c>
    </row>
    <row r="36" spans="1:23" ht="12.75" customHeight="1" x14ac:dyDescent="0.3">
      <c r="A36" s="25"/>
      <c r="B36" s="524" t="str">
        <f>IF(Lang="Français"," Ligne mi-corde f",IF(Lang="English"," Mid-chord line f",""))</f>
        <v xml:space="preserve"> Ligne mi-corde f</v>
      </c>
      <c r="C36" s="145">
        <f>SQRT(POWER(p_ail+n_ail/2-m_ail/2,2)+POWER(E_ail,2))</f>
        <v>129.8345100502944</v>
      </c>
      <c r="D36" s="145">
        <f>SQRT(POWER(p_can+n_can/2-m_can/2,2)+POWER(E_can,2))</f>
        <v>50.990195135927848</v>
      </c>
      <c r="E36" s="536"/>
      <c r="K36" s="32"/>
      <c r="Q36" s="29"/>
      <c r="R36" s="38"/>
    </row>
    <row r="37" spans="1:23" ht="12.75" customHeight="1" thickBot="1" x14ac:dyDescent="0.35">
      <c r="A37" s="40"/>
      <c r="B37" s="182" t="str">
        <f>IF(Lang="Français","Commentaire libre :",IF(Lang="English","Free comment:",""))</f>
        <v>Commentaire libre :</v>
      </c>
      <c r="C37" s="41"/>
      <c r="D37" s="42"/>
      <c r="E37" s="91"/>
      <c r="F37" s="67"/>
      <c r="G37" s="67"/>
      <c r="H37" s="67"/>
      <c r="I37" s="67"/>
      <c r="J37" s="42"/>
      <c r="K37" s="42"/>
      <c r="L37" s="389" t="s">
        <v>272</v>
      </c>
      <c r="M37" s="392" t="str">
        <f>IF(ROUND(SUM(Propu!5:1228),0)=437735,"propu OK","propu NOK")</f>
        <v>propu OK</v>
      </c>
      <c r="N37" s="391" t="str">
        <f>IF(Lang="Français","fichier initial","Initial file")</f>
        <v>fichier initial</v>
      </c>
      <c r="O37" s="392"/>
      <c r="P37" s="390"/>
      <c r="Q37" s="291" t="s">
        <v>572</v>
      </c>
      <c r="R37" s="43"/>
    </row>
    <row r="39" spans="1:23" x14ac:dyDescent="0.3">
      <c r="L39" s="226" t="str">
        <f>IF(Lang="Français","Maintenant que votre fusée est stable, vérifiez sa trajectoire via la feuille","Now your rocket is stable, check its trajectory on sheet")</f>
        <v>Maintenant que votre fusée est stable, vérifiez sa trajectoire via la feuille</v>
      </c>
      <c r="M39" s="481" t="s">
        <v>182</v>
      </c>
    </row>
    <row r="40" spans="1:23" x14ac:dyDescent="0.3">
      <c r="H40" s="87"/>
      <c r="O40" s="26"/>
      <c r="P40" s="26"/>
      <c r="S40" s="506"/>
    </row>
    <row r="41" spans="1:23" x14ac:dyDescent="0.3">
      <c r="F41" s="24"/>
      <c r="H41" s="43"/>
      <c r="I41" s="44"/>
      <c r="J41" s="43"/>
      <c r="N41" s="43"/>
      <c r="Q41" s="43"/>
      <c r="R41" s="43"/>
    </row>
    <row r="42" spans="1:23" x14ac:dyDescent="0.3">
      <c r="F42" s="24"/>
      <c r="G42" s="503"/>
      <c r="H42" s="504"/>
      <c r="I42" s="44"/>
      <c r="J42" s="43"/>
      <c r="N42" s="43"/>
      <c r="Q42" s="43"/>
      <c r="R42" s="43"/>
    </row>
    <row r="43" spans="1:23" x14ac:dyDescent="0.3">
      <c r="F43" s="24"/>
      <c r="H43" s="43"/>
      <c r="I43" s="44"/>
      <c r="J43" s="43"/>
      <c r="N43" s="43"/>
      <c r="Q43" s="43"/>
      <c r="R43" s="43"/>
    </row>
    <row r="44" spans="1:23" x14ac:dyDescent="0.3">
      <c r="F44" s="24"/>
      <c r="H44" s="43"/>
      <c r="I44" s="44"/>
      <c r="J44" s="43"/>
      <c r="N44" s="43"/>
      <c r="Q44" s="43"/>
      <c r="R44" s="43"/>
    </row>
    <row r="45" spans="1:23" x14ac:dyDescent="0.3">
      <c r="F45" s="24"/>
      <c r="H45" s="43"/>
      <c r="I45" s="44"/>
      <c r="J45" s="43"/>
      <c r="N45" s="43"/>
      <c r="Q45" s="43"/>
      <c r="R45" s="43"/>
    </row>
    <row r="46" spans="1:23" x14ac:dyDescent="0.3">
      <c r="F46" s="24"/>
      <c r="H46" s="43"/>
      <c r="I46" s="44"/>
      <c r="J46" s="43"/>
      <c r="N46" s="43"/>
      <c r="Q46" s="43"/>
      <c r="R46" s="43"/>
    </row>
    <row r="47" spans="1:23" x14ac:dyDescent="0.3">
      <c r="F47" s="24"/>
      <c r="H47" s="43"/>
      <c r="I47" s="44"/>
      <c r="J47" s="43"/>
      <c r="L47" s="43"/>
      <c r="M47" s="43"/>
      <c r="N47" s="43"/>
      <c r="Q47" s="43"/>
      <c r="R47" s="43"/>
    </row>
    <row r="48" spans="1:23" x14ac:dyDescent="0.3">
      <c r="F48" s="24"/>
      <c r="H48" s="43"/>
      <c r="I48" s="44"/>
      <c r="J48" s="43"/>
      <c r="L48" s="43"/>
      <c r="M48" s="43"/>
      <c r="N48" s="43"/>
      <c r="Q48" s="43"/>
      <c r="R48" s="43"/>
    </row>
    <row r="49" spans="2:18" x14ac:dyDescent="0.3">
      <c r="F49" s="24"/>
      <c r="H49" s="43"/>
      <c r="I49" s="44"/>
      <c r="J49" s="43"/>
      <c r="L49" s="43"/>
      <c r="M49" s="43"/>
      <c r="N49" s="43"/>
      <c r="Q49" s="43"/>
      <c r="R49" s="43"/>
    </row>
    <row r="50" spans="2:18" x14ac:dyDescent="0.3">
      <c r="F50" s="24"/>
      <c r="H50" s="43"/>
      <c r="I50" s="44"/>
      <c r="J50" s="43"/>
      <c r="L50" s="43"/>
      <c r="M50" s="43"/>
      <c r="N50" s="43"/>
      <c r="Q50" s="43"/>
      <c r="R50" s="43"/>
    </row>
    <row r="51" spans="2:18" x14ac:dyDescent="0.3">
      <c r="F51" s="24"/>
      <c r="H51" s="43"/>
      <c r="I51" s="44"/>
      <c r="J51" s="43"/>
      <c r="L51" s="43"/>
      <c r="M51" s="43"/>
      <c r="N51" s="43"/>
      <c r="Q51" s="43"/>
      <c r="R51" s="43"/>
    </row>
    <row r="52" spans="2:18" x14ac:dyDescent="0.3">
      <c r="F52" s="24"/>
      <c r="H52" s="43"/>
      <c r="I52" s="44"/>
      <c r="J52" s="43"/>
      <c r="L52" s="43"/>
      <c r="M52" s="43"/>
      <c r="N52" s="43"/>
      <c r="Q52" s="43"/>
      <c r="R52" s="43"/>
    </row>
    <row r="53" spans="2:18" x14ac:dyDescent="0.3">
      <c r="H53" s="43"/>
      <c r="I53" s="44"/>
      <c r="J53" s="43"/>
      <c r="L53" s="43"/>
      <c r="M53" s="43"/>
      <c r="N53" s="43"/>
      <c r="Q53" s="43"/>
      <c r="R53" s="43"/>
    </row>
    <row r="54" spans="2:18" x14ac:dyDescent="0.3">
      <c r="H54" s="43"/>
      <c r="I54" s="44"/>
      <c r="J54" s="43"/>
      <c r="L54" s="43"/>
      <c r="M54" s="43"/>
      <c r="N54" s="43"/>
      <c r="Q54" s="43"/>
      <c r="R54" s="43"/>
    </row>
    <row r="55" spans="2:18" x14ac:dyDescent="0.3">
      <c r="H55" s="43"/>
      <c r="I55" s="44"/>
      <c r="J55" s="43"/>
      <c r="L55" s="43"/>
      <c r="M55" s="43"/>
      <c r="N55" s="43"/>
      <c r="Q55" s="43"/>
      <c r="R55" s="43"/>
    </row>
    <row r="56" spans="2:18" x14ac:dyDescent="0.3">
      <c r="H56" s="43"/>
      <c r="I56" s="44"/>
      <c r="J56" s="43"/>
      <c r="L56" s="43"/>
      <c r="M56" s="43"/>
      <c r="N56" s="43"/>
      <c r="Q56" s="43"/>
      <c r="R56" s="43"/>
    </row>
    <row r="57" spans="2:18" x14ac:dyDescent="0.3">
      <c r="C57" s="24"/>
      <c r="H57" s="43"/>
      <c r="I57" s="44"/>
      <c r="J57" s="43"/>
      <c r="L57" s="43"/>
      <c r="M57" s="43"/>
      <c r="N57" s="43"/>
      <c r="Q57" s="43"/>
      <c r="R57" s="43"/>
    </row>
    <row r="58" spans="2:18" x14ac:dyDescent="0.3">
      <c r="H58" s="43"/>
      <c r="I58" s="44"/>
      <c r="J58" s="43"/>
      <c r="L58" s="43"/>
      <c r="M58" s="43"/>
      <c r="N58" s="43"/>
      <c r="Q58" s="43"/>
      <c r="R58" s="43"/>
    </row>
    <row r="59" spans="2:18" x14ac:dyDescent="0.3">
      <c r="B59" s="31"/>
      <c r="H59" s="43"/>
      <c r="I59" s="44"/>
      <c r="J59" s="43"/>
      <c r="L59" s="43"/>
      <c r="M59" s="43"/>
      <c r="N59" s="43"/>
      <c r="Q59" s="43"/>
      <c r="R59" s="43"/>
    </row>
    <row r="60" spans="2:18" x14ac:dyDescent="0.3">
      <c r="B60" s="31"/>
      <c r="H60" s="43"/>
      <c r="I60" s="44"/>
      <c r="J60" s="43"/>
      <c r="L60" s="43"/>
      <c r="M60" s="43"/>
      <c r="N60" s="43"/>
      <c r="Q60" s="43"/>
      <c r="R60" s="43"/>
    </row>
    <row r="61" spans="2:18" x14ac:dyDescent="0.3">
      <c r="B61" s="31"/>
      <c r="H61" s="43"/>
      <c r="I61" s="44"/>
      <c r="J61" s="43"/>
      <c r="L61" s="43"/>
      <c r="M61" s="43"/>
      <c r="N61" s="43"/>
      <c r="Q61" s="43"/>
      <c r="R61" s="43"/>
    </row>
    <row r="62" spans="2:18" x14ac:dyDescent="0.3">
      <c r="B62" s="31"/>
      <c r="H62" s="43"/>
      <c r="I62" s="44"/>
      <c r="J62" s="43"/>
      <c r="L62" s="43"/>
      <c r="M62" s="43"/>
      <c r="N62" s="43"/>
      <c r="Q62" s="43"/>
      <c r="R62" s="43"/>
    </row>
    <row r="63" spans="2:18" x14ac:dyDescent="0.3">
      <c r="B63" s="31"/>
      <c r="H63" s="43"/>
      <c r="I63" s="44"/>
      <c r="J63" s="43"/>
      <c r="L63" s="43"/>
      <c r="M63" s="43"/>
      <c r="N63" s="43"/>
      <c r="Q63" s="43"/>
      <c r="R63" s="43"/>
    </row>
    <row r="64" spans="2:18" x14ac:dyDescent="0.3">
      <c r="B64" s="31"/>
      <c r="H64" s="43"/>
      <c r="I64" s="44"/>
      <c r="J64" s="43"/>
      <c r="L64" s="43"/>
      <c r="M64" s="43"/>
      <c r="N64" s="43"/>
      <c r="Q64" s="43"/>
      <c r="R64" s="43"/>
    </row>
    <row r="65" spans="2:18" x14ac:dyDescent="0.3">
      <c r="B65" s="31"/>
      <c r="H65" s="43"/>
      <c r="I65" s="44"/>
      <c r="J65" s="43"/>
      <c r="L65" s="43"/>
      <c r="M65" s="43"/>
      <c r="N65" s="43"/>
      <c r="Q65" s="43"/>
      <c r="R65" s="43"/>
    </row>
    <row r="66" spans="2:18" x14ac:dyDescent="0.3">
      <c r="B66" s="31"/>
      <c r="H66" s="43"/>
      <c r="I66" s="44"/>
      <c r="J66" s="43"/>
      <c r="L66" s="43"/>
      <c r="M66" s="43"/>
      <c r="N66" s="43"/>
      <c r="Q66" s="43"/>
      <c r="R66" s="43"/>
    </row>
    <row r="67" spans="2:18" x14ac:dyDescent="0.3">
      <c r="B67" s="31"/>
      <c r="H67" s="43"/>
      <c r="I67" s="44"/>
      <c r="J67" s="43"/>
      <c r="L67" s="43"/>
      <c r="M67" s="43"/>
      <c r="N67" s="43"/>
      <c r="Q67" s="43"/>
      <c r="R67" s="43"/>
    </row>
    <row r="68" spans="2:18" x14ac:dyDescent="0.3">
      <c r="C68" s="24"/>
      <c r="H68" s="43"/>
      <c r="I68" s="44"/>
      <c r="J68" s="43"/>
      <c r="L68" s="43"/>
      <c r="M68" s="43"/>
      <c r="N68" s="43"/>
      <c r="Q68" s="43"/>
      <c r="R68" s="43"/>
    </row>
    <row r="69" spans="2:18" x14ac:dyDescent="0.3">
      <c r="C69" s="24"/>
      <c r="H69" s="43"/>
      <c r="I69" s="44"/>
      <c r="J69" s="43"/>
      <c r="L69" s="43"/>
      <c r="M69" s="43"/>
      <c r="N69" s="43"/>
      <c r="Q69" s="43"/>
      <c r="R69" s="43"/>
    </row>
    <row r="70" spans="2:18" x14ac:dyDescent="0.3">
      <c r="C70" s="24"/>
      <c r="H70" s="43"/>
      <c r="I70" s="44"/>
      <c r="J70" s="43"/>
      <c r="L70" s="43"/>
      <c r="M70" s="43"/>
      <c r="N70" s="43"/>
      <c r="Q70" s="43"/>
      <c r="R70" s="43"/>
    </row>
    <row r="71" spans="2:18" x14ac:dyDescent="0.3">
      <c r="C71" s="24"/>
      <c r="H71" s="43"/>
      <c r="I71" s="44"/>
      <c r="J71" s="43"/>
      <c r="L71" s="43"/>
      <c r="M71" s="43"/>
      <c r="N71" s="43"/>
      <c r="Q71" s="43"/>
      <c r="R71" s="43"/>
    </row>
    <row r="72" spans="2:18" x14ac:dyDescent="0.3">
      <c r="C72" s="24"/>
      <c r="H72" s="43"/>
      <c r="I72" s="44"/>
      <c r="J72" s="43"/>
      <c r="L72" s="43"/>
      <c r="M72" s="43"/>
      <c r="N72" s="43"/>
      <c r="Q72" s="43"/>
      <c r="R72" s="43"/>
    </row>
    <row r="73" spans="2:18" x14ac:dyDescent="0.3">
      <c r="C73" s="24"/>
      <c r="H73" s="43"/>
      <c r="I73" s="44"/>
      <c r="J73" s="43"/>
      <c r="L73" s="43"/>
      <c r="M73" s="43"/>
      <c r="N73" s="43"/>
      <c r="Q73" s="43"/>
      <c r="R73" s="43"/>
    </row>
    <row r="74" spans="2:18" x14ac:dyDescent="0.3">
      <c r="C74" s="24"/>
      <c r="H74" s="43"/>
      <c r="I74" s="44"/>
      <c r="J74" s="43"/>
      <c r="L74" s="43"/>
      <c r="M74" s="43"/>
      <c r="N74" s="43"/>
      <c r="Q74" s="43"/>
      <c r="R74" s="43"/>
    </row>
    <row r="75" spans="2:18" x14ac:dyDescent="0.3">
      <c r="C75" s="24"/>
      <c r="H75" s="43"/>
      <c r="I75" s="44"/>
      <c r="J75" s="43"/>
      <c r="L75" s="43"/>
      <c r="M75" s="43"/>
      <c r="N75" s="43"/>
      <c r="Q75" s="43"/>
      <c r="R75" s="43"/>
    </row>
    <row r="76" spans="2:18" x14ac:dyDescent="0.3">
      <c r="C76" s="24"/>
      <c r="H76" s="43"/>
      <c r="I76" s="44"/>
      <c r="J76" s="43"/>
      <c r="L76" s="43"/>
      <c r="M76" s="43"/>
      <c r="N76" s="43"/>
      <c r="Q76" s="43"/>
      <c r="R76" s="43"/>
    </row>
    <row r="77" spans="2:18" x14ac:dyDescent="0.3">
      <c r="C77" s="24"/>
      <c r="H77" s="43"/>
      <c r="I77" s="44"/>
      <c r="J77" s="43"/>
      <c r="L77" s="43"/>
      <c r="M77" s="43"/>
      <c r="N77" s="43"/>
      <c r="Q77" s="43"/>
      <c r="R77" s="43"/>
    </row>
    <row r="78" spans="2:18" x14ac:dyDescent="0.3">
      <c r="C78" s="24"/>
      <c r="H78" s="43"/>
      <c r="I78" s="44"/>
      <c r="J78" s="43"/>
      <c r="L78" s="43"/>
      <c r="M78" s="43"/>
      <c r="N78" s="43"/>
      <c r="Q78" s="43"/>
      <c r="R78" s="43"/>
    </row>
    <row r="79" spans="2:18" x14ac:dyDescent="0.3">
      <c r="C79" s="24"/>
      <c r="H79" s="43"/>
      <c r="I79" s="44"/>
      <c r="J79" s="43"/>
      <c r="L79" s="43"/>
      <c r="M79" s="43"/>
      <c r="N79" s="43"/>
      <c r="Q79" s="43"/>
      <c r="R79" s="43"/>
    </row>
    <row r="80" spans="2:18" x14ac:dyDescent="0.3">
      <c r="C80" s="24"/>
      <c r="H80" s="43"/>
      <c r="I80" s="44"/>
      <c r="J80" s="43"/>
      <c r="L80" s="43"/>
      <c r="M80" s="43"/>
      <c r="N80" s="43"/>
      <c r="Q80" s="43"/>
      <c r="R80" s="43"/>
    </row>
    <row r="81" spans="2:18" x14ac:dyDescent="0.3">
      <c r="C81" s="24"/>
      <c r="H81" s="43"/>
      <c r="I81" s="44"/>
      <c r="J81" s="43"/>
      <c r="L81" s="43"/>
      <c r="M81" s="43"/>
      <c r="N81" s="43"/>
      <c r="Q81" s="43"/>
      <c r="R81" s="43"/>
    </row>
    <row r="82" spans="2:18" x14ac:dyDescent="0.3">
      <c r="C82" s="24"/>
      <c r="H82" s="43"/>
      <c r="I82" s="44"/>
      <c r="J82" s="43"/>
      <c r="L82" s="43"/>
      <c r="M82" s="43"/>
      <c r="N82" s="43"/>
      <c r="Q82" s="43"/>
      <c r="R82" s="43"/>
    </row>
    <row r="83" spans="2:18" x14ac:dyDescent="0.3">
      <c r="C83" s="24"/>
      <c r="H83" s="43"/>
      <c r="I83" s="44"/>
      <c r="J83" s="43"/>
      <c r="L83" s="43"/>
      <c r="M83" s="43"/>
      <c r="N83" s="43"/>
      <c r="Q83" s="43"/>
      <c r="R83" s="43"/>
    </row>
    <row r="84" spans="2:18" x14ac:dyDescent="0.3">
      <c r="C84" s="24"/>
      <c r="H84" s="43"/>
      <c r="I84" s="44"/>
      <c r="J84" s="43"/>
      <c r="L84" s="43"/>
      <c r="M84" s="43"/>
      <c r="N84" s="43"/>
      <c r="Q84" s="43"/>
      <c r="R84" s="43"/>
    </row>
    <row r="85" spans="2:18" x14ac:dyDescent="0.3">
      <c r="C85" s="24"/>
      <c r="H85" s="43"/>
      <c r="I85" s="44"/>
      <c r="J85" s="43"/>
      <c r="L85" s="43"/>
      <c r="M85" s="43"/>
      <c r="N85" s="43"/>
      <c r="Q85" s="43"/>
      <c r="R85" s="43"/>
    </row>
    <row r="86" spans="2:18" x14ac:dyDescent="0.3">
      <c r="C86" s="24"/>
      <c r="H86" s="43"/>
      <c r="I86" s="44"/>
      <c r="J86" s="43"/>
      <c r="L86" s="43"/>
      <c r="M86" s="43"/>
      <c r="N86" s="43"/>
      <c r="Q86" s="43"/>
      <c r="R86" s="43"/>
    </row>
    <row r="87" spans="2:18" x14ac:dyDescent="0.3">
      <c r="C87" s="24"/>
      <c r="H87" s="43"/>
      <c r="I87" s="44"/>
      <c r="J87" s="43"/>
      <c r="L87" s="43"/>
      <c r="M87" s="43"/>
      <c r="N87" s="43"/>
      <c r="Q87" s="43"/>
      <c r="R87" s="43"/>
    </row>
    <row r="88" spans="2:18" x14ac:dyDescent="0.3">
      <c r="C88" s="24"/>
      <c r="H88" s="43"/>
      <c r="I88" s="44"/>
      <c r="J88" s="43"/>
      <c r="L88" s="43"/>
      <c r="M88" s="43"/>
      <c r="N88" s="43"/>
      <c r="Q88" s="43"/>
      <c r="R88" s="43"/>
    </row>
    <row r="89" spans="2:18" x14ac:dyDescent="0.3">
      <c r="C89" s="24"/>
      <c r="H89" s="43"/>
      <c r="I89" s="44"/>
      <c r="J89" s="43"/>
      <c r="L89" s="43"/>
      <c r="M89" s="43"/>
      <c r="N89" s="43"/>
      <c r="Q89" s="43"/>
      <c r="R89" s="43"/>
    </row>
    <row r="90" spans="2:18" x14ac:dyDescent="0.3">
      <c r="C90" s="24"/>
      <c r="H90" s="43"/>
      <c r="I90" s="44"/>
      <c r="J90" s="43"/>
      <c r="L90" s="43"/>
      <c r="M90" s="43"/>
      <c r="N90" s="43"/>
      <c r="Q90" s="43"/>
      <c r="R90" s="43"/>
    </row>
    <row r="91" spans="2:18" x14ac:dyDescent="0.3">
      <c r="C91" s="24"/>
      <c r="H91" s="43"/>
      <c r="I91" s="44"/>
      <c r="J91" s="43"/>
      <c r="L91" s="43"/>
      <c r="M91" s="43"/>
      <c r="N91" s="43"/>
      <c r="Q91" s="43"/>
      <c r="R91" s="43"/>
    </row>
    <row r="92" spans="2:18" x14ac:dyDescent="0.3">
      <c r="B92" s="24" t="str">
        <f>IF(Lang="Français","Textes pour les listes déroulantes et graphiques :",IF(Lang="English","Texts for drop-down lists &amp; graphics :",""))</f>
        <v>Textes pour les listes déroulantes et graphiques :</v>
      </c>
      <c r="H92" s="43"/>
      <c r="I92" s="44"/>
      <c r="J92" s="43"/>
      <c r="L92" s="43"/>
      <c r="M92" s="43"/>
      <c r="N92" s="43"/>
      <c r="Q92" s="43"/>
      <c r="R92" s="43"/>
    </row>
    <row r="93" spans="2:18" x14ac:dyDescent="0.3">
      <c r="H93" s="43"/>
      <c r="I93" s="44"/>
      <c r="J93" s="43"/>
      <c r="L93" s="43"/>
      <c r="M93" s="43"/>
      <c r="N93" s="43"/>
      <c r="Q93" s="43"/>
      <c r="R93" s="43"/>
    </row>
    <row r="94" spans="2:18" x14ac:dyDescent="0.3">
      <c r="B94" s="26" t="s">
        <v>1</v>
      </c>
      <c r="H94" s="43"/>
      <c r="I94" s="44"/>
      <c r="J94" s="43"/>
      <c r="L94" s="43"/>
      <c r="M94" s="43"/>
      <c r="N94" s="43"/>
      <c r="Q94" s="43"/>
      <c r="R94" s="43"/>
    </row>
    <row r="95" spans="2:18" x14ac:dyDescent="0.3">
      <c r="B95" s="26" t="s">
        <v>67</v>
      </c>
      <c r="H95" s="43"/>
      <c r="I95" s="44"/>
      <c r="J95" s="43"/>
      <c r="L95" s="43"/>
      <c r="M95" s="43"/>
      <c r="N95" s="43"/>
      <c r="Q95" s="43"/>
      <c r="R95" s="43"/>
    </row>
    <row r="96" spans="2:18" x14ac:dyDescent="0.3">
      <c r="B96" s="26"/>
      <c r="H96" s="43"/>
      <c r="I96" s="44"/>
      <c r="J96" s="43"/>
      <c r="L96" s="43"/>
      <c r="M96" s="43"/>
      <c r="N96" s="43"/>
      <c r="Q96" s="43"/>
      <c r="R96" s="43"/>
    </row>
    <row r="97" spans="2:18" x14ac:dyDescent="0.3">
      <c r="B97" s="26" t="str">
        <f>IF(Lang="Français","Fusée à eau  ",IF(Lang="English","Water-rocket  ",""))</f>
        <v xml:space="preserve">Fusée à eau  </v>
      </c>
      <c r="H97" s="43"/>
      <c r="I97" s="44"/>
      <c r="J97" s="43"/>
      <c r="L97" s="43"/>
      <c r="M97" s="43"/>
      <c r="N97" s="43"/>
      <c r="Q97" s="43"/>
      <c r="R97" s="43"/>
    </row>
    <row r="98" spans="2:18" x14ac:dyDescent="0.3">
      <c r="B98" s="26" t="str">
        <f>IF(Lang="Français","Microfusée",IF(Lang="English","Micro-rocket",""))</f>
        <v>Microfusée</v>
      </c>
      <c r="H98" s="43"/>
      <c r="I98" s="44"/>
      <c r="J98" s="43"/>
      <c r="L98" s="43"/>
      <c r="M98" s="43"/>
      <c r="N98" s="43"/>
      <c r="Q98" s="43"/>
      <c r="R98" s="43"/>
    </row>
    <row r="99" spans="2:18" x14ac:dyDescent="0.3">
      <c r="B99" s="26" t="str">
        <f>IF(Lang="Français","Minifusée",IF(Lang="English","Mini-rocket",""))</f>
        <v>Minifusée</v>
      </c>
      <c r="H99" s="43"/>
      <c r="I99" s="44"/>
      <c r="J99" s="43"/>
      <c r="L99" s="43"/>
      <c r="M99" s="43"/>
      <c r="N99" s="43"/>
      <c r="Q99" s="43"/>
      <c r="R99" s="43"/>
    </row>
    <row r="100" spans="2:18" x14ac:dyDescent="0.3">
      <c r="B100" s="26" t="str">
        <f>IF(Lang="Français","Fusée expérimentale.",IF(Lang="English","Experimental Rocket.",""))</f>
        <v>Fusée expérimentale.</v>
      </c>
      <c r="H100" s="43"/>
      <c r="I100" s="44"/>
      <c r="J100" s="43"/>
      <c r="L100" s="43"/>
      <c r="M100" s="43"/>
      <c r="N100" s="43"/>
      <c r="Q100" s="43"/>
      <c r="R100" s="43"/>
    </row>
    <row r="101" spans="2:18" x14ac:dyDescent="0.3">
      <c r="B101" s="26" t="s">
        <v>400</v>
      </c>
      <c r="H101" s="43"/>
      <c r="I101" s="44"/>
      <c r="J101" s="43"/>
      <c r="L101" s="43"/>
      <c r="M101" s="43"/>
      <c r="N101" s="43"/>
      <c r="Q101" s="43"/>
      <c r="R101" s="43"/>
    </row>
    <row r="102" spans="2:18" x14ac:dyDescent="0.3">
      <c r="B102" s="26"/>
      <c r="H102" s="43"/>
      <c r="I102" s="44"/>
      <c r="J102" s="43"/>
      <c r="L102" s="43"/>
      <c r="M102" s="43"/>
      <c r="N102" s="43"/>
      <c r="Q102" s="43"/>
      <c r="R102" s="43"/>
    </row>
    <row r="103" spans="2:18" x14ac:dyDescent="0.3">
      <c r="B103" s="26" t="str">
        <f>IF(Lang="Français","sans propu",IF(Lang="English","without motor",""))</f>
        <v>sans propu</v>
      </c>
      <c r="H103" s="43"/>
      <c r="I103" s="44"/>
      <c r="J103" s="43"/>
      <c r="L103" s="43"/>
      <c r="M103" s="43"/>
      <c r="N103" s="43"/>
      <c r="Q103" s="43"/>
      <c r="R103" s="43"/>
    </row>
    <row r="104" spans="2:18" x14ac:dyDescent="0.3">
      <c r="B104" s="26" t="str">
        <f>IF(Lang="Français","avec propu vide",IF(Lang="English","with empty motor",""))</f>
        <v>avec propu vide</v>
      </c>
      <c r="H104" s="43"/>
      <c r="I104" s="44"/>
      <c r="J104" s="43"/>
      <c r="L104" s="43"/>
      <c r="M104" s="43"/>
      <c r="N104" s="43"/>
      <c r="Q104" s="43"/>
      <c r="R104" s="43"/>
    </row>
    <row r="105" spans="2:18" x14ac:dyDescent="0.3">
      <c r="B105" s="26" t="str">
        <f>IF(Lang="Français","avec propu plein",IF(Lang="English","with loaded motor",""))</f>
        <v>avec propu plein</v>
      </c>
      <c r="H105" s="43"/>
      <c r="I105" s="44"/>
      <c r="J105" s="43"/>
      <c r="L105" s="43"/>
      <c r="M105" s="43"/>
      <c r="N105" s="43"/>
      <c r="Q105" s="43"/>
      <c r="R105" s="43"/>
    </row>
    <row r="106" spans="2:18" x14ac:dyDescent="0.3">
      <c r="B106" s="26"/>
      <c r="H106" s="43"/>
      <c r="I106" s="44"/>
      <c r="J106" s="43"/>
      <c r="L106" s="43"/>
      <c r="M106" s="43"/>
      <c r="N106" s="43"/>
      <c r="Q106" s="43"/>
      <c r="R106" s="43"/>
    </row>
    <row r="107" spans="2:18" x14ac:dyDescent="0.3">
      <c r="B107" s="26" t="str">
        <f>IF(Lang="Français","Parabolique (arrondie)",IF(Lang="English","Parabola (rounded)",""))</f>
        <v>Parabolique (arrondie)</v>
      </c>
      <c r="H107" s="43"/>
      <c r="I107" s="44"/>
      <c r="J107" s="43"/>
      <c r="L107" s="43"/>
      <c r="M107" s="43"/>
      <c r="N107" s="43"/>
      <c r="Q107" s="43"/>
      <c r="R107" s="43"/>
    </row>
    <row r="108" spans="2:18" x14ac:dyDescent="0.3">
      <c r="B108" s="26" t="str">
        <f>IF(Lang="Français","Ogivale (pointue)",IF(Lang="English","Ogive (sharp)",""))</f>
        <v>Ogivale (pointue)</v>
      </c>
      <c r="H108" s="43"/>
      <c r="I108" s="44"/>
      <c r="J108" s="43"/>
      <c r="L108" s="43"/>
      <c r="M108" s="43"/>
      <c r="N108" s="43"/>
      <c r="Q108" s="43"/>
      <c r="R108" s="43"/>
    </row>
    <row r="109" spans="2:18" x14ac:dyDescent="0.3">
      <c r="B109" s="26" t="str">
        <f>IF(Lang="Français","Conique (droite)",IF(Lang="English","Cone (straight)",""))</f>
        <v>Conique (droite)</v>
      </c>
      <c r="H109" s="43"/>
      <c r="I109" s="44"/>
      <c r="J109" s="43"/>
      <c r="L109" s="43"/>
      <c r="M109" s="43"/>
      <c r="N109" s="43"/>
      <c r="Q109" s="43"/>
      <c r="R109" s="43"/>
    </row>
    <row r="110" spans="2:18" x14ac:dyDescent="0.3">
      <c r="B110" s="38"/>
      <c r="H110" s="43"/>
      <c r="I110" s="44"/>
      <c r="J110" s="43"/>
      <c r="L110" s="43"/>
      <c r="M110" s="43"/>
      <c r="N110" s="43"/>
      <c r="Q110" s="43"/>
      <c r="R110" s="43"/>
    </row>
    <row r="111" spans="2:18" x14ac:dyDescent="0.3">
      <c r="B111" s="38" t="s">
        <v>426</v>
      </c>
      <c r="H111" s="43"/>
      <c r="I111" s="44"/>
      <c r="J111" s="43"/>
      <c r="L111" s="43"/>
      <c r="M111" s="43"/>
      <c r="N111" s="43"/>
      <c r="Q111" s="43"/>
      <c r="R111" s="43"/>
    </row>
    <row r="112" spans="2:18" x14ac:dyDescent="0.3">
      <c r="B112" s="38" t="s">
        <v>427</v>
      </c>
      <c r="H112" s="43"/>
      <c r="I112" s="44"/>
      <c r="J112" s="43"/>
      <c r="L112" s="43"/>
      <c r="M112" s="43"/>
      <c r="N112" s="43"/>
      <c r="Q112" s="43"/>
      <c r="R112" s="43"/>
    </row>
    <row r="113" spans="2:18" x14ac:dyDescent="0.3">
      <c r="B113" s="38"/>
      <c r="H113" s="43"/>
      <c r="I113" s="44"/>
      <c r="J113" s="43"/>
      <c r="L113" s="43"/>
      <c r="M113" s="43"/>
      <c r="N113" s="43"/>
      <c r="Q113" s="43"/>
      <c r="R113" s="43"/>
    </row>
    <row r="114" spans="2:18" x14ac:dyDescent="0.3">
      <c r="B114" s="38" t="str">
        <f>IF(Lang="Français","Fusée mono-diamètre,",IF(Lang="English","Mono-diameter rocket,",""))</f>
        <v>Fusée mono-diamètre,</v>
      </c>
      <c r="H114" s="43"/>
      <c r="I114" s="44"/>
      <c r="J114" s="43"/>
      <c r="L114" s="43"/>
      <c r="M114" s="43"/>
      <c r="N114" s="43"/>
      <c r="Q114" s="43"/>
      <c r="R114" s="43"/>
    </row>
    <row r="115" spans="2:18" x14ac:dyDescent="0.3">
      <c r="B115" s="38" t="str">
        <f>IF(Lang="Français","Plusieurs diamètres.",IF(Lang="English","Many diameters rocket.",""))</f>
        <v>Plusieurs diamètres.</v>
      </c>
      <c r="H115" s="43"/>
      <c r="I115" s="44"/>
      <c r="J115" s="43"/>
      <c r="L115" s="43"/>
      <c r="M115" s="43"/>
      <c r="N115" s="43"/>
      <c r="Q115" s="43"/>
      <c r="R115" s="43"/>
    </row>
    <row r="116" spans="2:18" x14ac:dyDescent="0.3">
      <c r="B116" s="38"/>
      <c r="H116" s="43"/>
      <c r="I116" s="44"/>
      <c r="J116" s="43"/>
      <c r="L116" s="43"/>
      <c r="M116" s="43"/>
      <c r="N116" s="43"/>
      <c r="Q116" s="43"/>
      <c r="R116" s="43"/>
    </row>
    <row r="117" spans="2:18" x14ac:dyDescent="0.3">
      <c r="B117" s="223" t="str">
        <f>IF(Lang="Français","Diagramme des critères de stabilité","Stability criterions diagram")</f>
        <v>Diagramme des critères de stabilité</v>
      </c>
      <c r="H117" s="43"/>
      <c r="I117" s="44"/>
      <c r="J117" s="43"/>
      <c r="L117" s="43"/>
      <c r="M117" s="43"/>
      <c r="N117" s="43"/>
      <c r="Q117" s="43"/>
      <c r="R117" s="43"/>
    </row>
    <row r="118" spans="2:18" x14ac:dyDescent="0.3">
      <c r="B118" s="223" t="str">
        <f>IF(Lang="Français","Marge Statique (MS)","Static Margin")</f>
        <v>Marge Statique (MS)</v>
      </c>
      <c r="H118" s="43"/>
      <c r="I118" s="44"/>
      <c r="J118" s="43"/>
      <c r="L118" s="43"/>
      <c r="M118" s="43"/>
      <c r="N118" s="43"/>
      <c r="Q118" s="43"/>
      <c r="R118" s="43"/>
    </row>
    <row r="119" spans="2:18" x14ac:dyDescent="0.3">
      <c r="B119" s="223" t="str">
        <f>IF(Lang="Français","Portance Cnα","Lift Cnα")</f>
        <v>Portance Cnα</v>
      </c>
      <c r="H119" s="43"/>
      <c r="I119" s="44"/>
      <c r="J119" s="43"/>
      <c r="L119" s="43"/>
      <c r="M119" s="43"/>
      <c r="N119" s="43"/>
      <c r="Q119" s="43"/>
      <c r="R119" s="43"/>
    </row>
    <row r="120" spans="2:18" x14ac:dyDescent="0.3">
      <c r="B120" s="38"/>
      <c r="H120" s="43"/>
      <c r="I120" s="44"/>
      <c r="J120" s="43"/>
      <c r="L120" s="43"/>
      <c r="M120" s="43"/>
      <c r="N120" s="43"/>
      <c r="Q120" s="43"/>
      <c r="R120" s="43"/>
    </row>
    <row r="121" spans="2:18" x14ac:dyDescent="0.3">
      <c r="B121" s="24" t="str">
        <f>IF(Lang="Français","Données pour les graphiques :",IF(Lang="English","Data for plots:",""))</f>
        <v>Données pour les graphiques :</v>
      </c>
      <c r="H121" s="43"/>
      <c r="I121" s="44"/>
      <c r="J121" s="43"/>
      <c r="L121" s="43"/>
      <c r="M121" s="43"/>
      <c r="N121" s="43"/>
      <c r="Q121" s="43"/>
      <c r="R121" s="43"/>
    </row>
    <row r="122" spans="2:18" x14ac:dyDescent="0.3">
      <c r="H122" s="43"/>
      <c r="I122" s="44"/>
      <c r="J122" s="43"/>
      <c r="L122" s="43"/>
      <c r="M122" s="43"/>
      <c r="N122" s="43"/>
      <c r="Q122" s="43"/>
      <c r="R122" s="43"/>
    </row>
    <row r="123" spans="2:18" x14ac:dyDescent="0.3">
      <c r="B123" s="45"/>
      <c r="C123" s="45" t="s">
        <v>68</v>
      </c>
      <c r="D123" s="45" t="s">
        <v>69</v>
      </c>
      <c r="E123" s="92" t="s">
        <v>70</v>
      </c>
      <c r="K123" s="45"/>
    </row>
    <row r="124" spans="2:18" x14ac:dyDescent="0.3">
      <c r="B124" s="45" t="s">
        <v>72</v>
      </c>
      <c r="C124" s="46">
        <f>-Long_ogive</f>
        <v>-199</v>
      </c>
      <c r="D124" s="46">
        <v>0</v>
      </c>
      <c r="E124" s="93">
        <f t="shared" ref="E124:E136" si="0">-D124</f>
        <v>0</v>
      </c>
      <c r="K124" s="46"/>
    </row>
    <row r="125" spans="2:18" x14ac:dyDescent="0.3">
      <c r="B125" s="45" t="s">
        <v>72</v>
      </c>
      <c r="C125" s="46">
        <f>-Long_ogive</f>
        <v>-199</v>
      </c>
      <c r="D125" s="46">
        <f>D_og/2</f>
        <v>29.5</v>
      </c>
      <c r="E125" s="93">
        <f t="shared" si="0"/>
        <v>-29.5</v>
      </c>
      <c r="K125" s="46"/>
    </row>
    <row r="126" spans="2:18" x14ac:dyDescent="0.3">
      <c r="B126" s="45" t="s">
        <v>73</v>
      </c>
      <c r="C126" s="46">
        <f>IF(AND(RIGHT(Nb_diam,1)=".",X_j), -X_j, C125 )</f>
        <v>-199</v>
      </c>
      <c r="D126" s="46">
        <f>IF(AND(RIGHT(Nb_diam,1)=".",X_j), D1j/2, D125 )</f>
        <v>29.5</v>
      </c>
      <c r="E126" s="93">
        <f t="shared" si="0"/>
        <v>-29.5</v>
      </c>
      <c r="K126" s="46"/>
    </row>
    <row r="127" spans="2:18" x14ac:dyDescent="0.3">
      <c r="B127" s="45" t="s">
        <v>74</v>
      </c>
      <c r="C127" s="46">
        <f>IF(AND(RIGHT(Nb_diam,1)=".",X_j), -X_j-l_j, C126 )</f>
        <v>-199</v>
      </c>
      <c r="D127" s="46">
        <f>IF(AND(RIGHT(Nb_diam,1)=".",X_j), D2j/2, D126 )</f>
        <v>29.5</v>
      </c>
      <c r="E127" s="93">
        <f t="shared" si="0"/>
        <v>-29.5</v>
      </c>
      <c r="K127" s="46"/>
    </row>
    <row r="128" spans="2:18" x14ac:dyDescent="0.3">
      <c r="B128" s="45" t="s">
        <v>75</v>
      </c>
      <c r="C128" s="46">
        <f>IF(AND(RIGHT(Nb_diam,1)=".",X_r), -X_r, C127 )</f>
        <v>-199</v>
      </c>
      <c r="D128" s="46">
        <f>IF(AND(RIGHT(Nb_diam,1)=".",X_r), D1r/2, D127 )</f>
        <v>29.5</v>
      </c>
      <c r="E128" s="93">
        <f t="shared" si="0"/>
        <v>-29.5</v>
      </c>
      <c r="K128" s="46"/>
    </row>
    <row r="129" spans="2:11" x14ac:dyDescent="0.3">
      <c r="B129" s="45" t="s">
        <v>76</v>
      </c>
      <c r="C129" s="46">
        <f>IF(AND(RIGHT(Nb_diam,1)=".",X_r), -X_r-l_r, C128 )</f>
        <v>-199</v>
      </c>
      <c r="D129" s="46">
        <f>IF(AND(RIGHT(Nb_diam,1)=".",X_r), D2r/2, D128 )</f>
        <v>29.5</v>
      </c>
      <c r="E129" s="93">
        <f t="shared" si="0"/>
        <v>-29.5</v>
      </c>
      <c r="K129" s="46"/>
    </row>
    <row r="130" spans="2:11" x14ac:dyDescent="0.3">
      <c r="B130" s="45" t="s">
        <v>77</v>
      </c>
      <c r="C130" s="46">
        <f>-Long_tot</f>
        <v>-1001</v>
      </c>
      <c r="D130" s="46">
        <f>D129</f>
        <v>29.5</v>
      </c>
      <c r="E130" s="93">
        <f t="shared" si="0"/>
        <v>-29.5</v>
      </c>
      <c r="K130" s="46"/>
    </row>
    <row r="131" spans="2:11" x14ac:dyDescent="0.3">
      <c r="B131" s="45" t="s">
        <v>77</v>
      </c>
      <c r="C131" s="46">
        <f>-Long_tot</f>
        <v>-1001</v>
      </c>
      <c r="D131" s="46">
        <v>0</v>
      </c>
      <c r="E131" s="93">
        <f t="shared" si="0"/>
        <v>0</v>
      </c>
      <c r="K131" s="46"/>
    </row>
    <row r="132" spans="2:11" x14ac:dyDescent="0.3">
      <c r="B132" s="183" t="s">
        <v>78</v>
      </c>
      <c r="C132" s="197">
        <f>-X_ail+m_ail</f>
        <v>-892</v>
      </c>
      <c r="D132" s="197">
        <f>D_ail/2</f>
        <v>29.5</v>
      </c>
      <c r="E132" s="198">
        <f t="shared" si="0"/>
        <v>-29.5</v>
      </c>
      <c r="K132" s="46"/>
    </row>
    <row r="133" spans="2:11" x14ac:dyDescent="0.3">
      <c r="B133" s="185" t="s">
        <v>79</v>
      </c>
      <c r="C133" s="46">
        <f>-X_ail+m_ail-p_ail</f>
        <v>-1001</v>
      </c>
      <c r="D133" s="46">
        <f>D_ail/2+E_ail</f>
        <v>128.5</v>
      </c>
      <c r="E133" s="199">
        <f t="shared" si="0"/>
        <v>-128.5</v>
      </c>
      <c r="K133" s="46"/>
    </row>
    <row r="134" spans="2:11" x14ac:dyDescent="0.3">
      <c r="B134" s="185" t="s">
        <v>80</v>
      </c>
      <c r="C134" s="46">
        <f>-X_ail+m_ail-p_ail-n_ail</f>
        <v>-1060</v>
      </c>
      <c r="D134" s="46">
        <f>D_ail/2+E_ail</f>
        <v>128.5</v>
      </c>
      <c r="E134" s="199">
        <f t="shared" si="0"/>
        <v>-128.5</v>
      </c>
      <c r="K134" s="46"/>
    </row>
    <row r="135" spans="2:11" x14ac:dyDescent="0.3">
      <c r="B135" s="185" t="s">
        <v>81</v>
      </c>
      <c r="C135" s="46">
        <f>-X_ail</f>
        <v>-1001</v>
      </c>
      <c r="D135" s="46">
        <f>D_ail/2</f>
        <v>29.5</v>
      </c>
      <c r="E135" s="199">
        <f t="shared" si="0"/>
        <v>-29.5</v>
      </c>
      <c r="K135" s="46"/>
    </row>
    <row r="136" spans="2:11" x14ac:dyDescent="0.3">
      <c r="B136" s="187" t="s">
        <v>78</v>
      </c>
      <c r="C136" s="200">
        <f>-X_ail+m_ail</f>
        <v>-892</v>
      </c>
      <c r="D136" s="200">
        <f>D_ail/2</f>
        <v>29.5</v>
      </c>
      <c r="E136" s="201">
        <f t="shared" si="0"/>
        <v>-29.5</v>
      </c>
      <c r="K136" s="46"/>
    </row>
    <row r="137" spans="2:11" x14ac:dyDescent="0.3">
      <c r="B137" s="192" t="str">
        <f>IF(E_ail&gt;0,IF(Lang="Français","Envergure","Span"),"")</f>
        <v>Envergure</v>
      </c>
      <c r="C137" s="197">
        <f>MIN(-X_ail,-X_ail+m_ail-p_ail-n_ail)-Long_tot/30</f>
        <v>-1093.3666666666666</v>
      </c>
      <c r="D137" s="207">
        <f>-D_ail/2-E_ail</f>
        <v>-128.5</v>
      </c>
      <c r="E137" s="93"/>
      <c r="K137" s="46"/>
    </row>
    <row r="138" spans="2:11" x14ac:dyDescent="0.3">
      <c r="B138" s="195" t="s">
        <v>168</v>
      </c>
      <c r="C138" s="46">
        <f>MIN(-X_ail,-X_ail+m_ail-p_ail-n_ail)-Long_tot/30</f>
        <v>-1093.3666666666666</v>
      </c>
      <c r="D138" s="208">
        <f>-D_ail/2-E_ail/2</f>
        <v>-79</v>
      </c>
      <c r="E138" s="93"/>
      <c r="K138" s="46"/>
    </row>
    <row r="139" spans="2:11" x14ac:dyDescent="0.3">
      <c r="B139" s="212" t="s">
        <v>164</v>
      </c>
      <c r="C139" s="200">
        <f>MIN(-X_ail,-X_ail+m_ail-p_ail-n_ail)-Long_tot/30</f>
        <v>-1093.3666666666666</v>
      </c>
      <c r="D139" s="209">
        <f>-D_ail/2</f>
        <v>-29.5</v>
      </c>
      <c r="E139" s="93"/>
      <c r="K139" s="46"/>
    </row>
    <row r="140" spans="2:11" x14ac:dyDescent="0.3">
      <c r="B140" s="192" t="str">
        <f>IF(Lang="Français","Emplanture","Root edge")</f>
        <v>Emplanture</v>
      </c>
      <c r="C140" s="197">
        <f>-X_ail+m_ail</f>
        <v>-892</v>
      </c>
      <c r="D140" s="207">
        <f>D_ail/2+E_ail+Long_tot/20</f>
        <v>178.55</v>
      </c>
      <c r="E140" s="93"/>
      <c r="K140" s="46"/>
    </row>
    <row r="141" spans="2:11" x14ac:dyDescent="0.3">
      <c r="B141" s="195" t="s">
        <v>170</v>
      </c>
      <c r="C141" s="46">
        <f>-X_ail+m_ail/2</f>
        <v>-946.5</v>
      </c>
      <c r="D141" s="208">
        <f>D_ail/2+E_ail+Long_tot/20</f>
        <v>178.55</v>
      </c>
      <c r="E141" s="93"/>
      <c r="K141" s="46"/>
    </row>
    <row r="142" spans="2:11" x14ac:dyDescent="0.3">
      <c r="B142" s="212" t="s">
        <v>171</v>
      </c>
      <c r="C142" s="200">
        <f>-X_ail</f>
        <v>-1001</v>
      </c>
      <c r="D142" s="209">
        <f>D_ail/2+E_ail+Long_tot/20</f>
        <v>178.55</v>
      </c>
      <c r="E142" s="93"/>
      <c r="K142" s="46"/>
    </row>
    <row r="143" spans="2:11" x14ac:dyDescent="0.3">
      <c r="B143" s="192" t="str">
        <f>IF(p_ail&lt;&gt;0,IF(Lang="Français","Flèche","Offset"),"")</f>
        <v>Flèche</v>
      </c>
      <c r="C143" s="197">
        <f>-X_ail+m_ail</f>
        <v>-892</v>
      </c>
      <c r="D143" s="207">
        <f>-D_ail/2-E_ail-Long_tot/30</f>
        <v>-161.86666666666667</v>
      </c>
      <c r="E143" s="93"/>
      <c r="K143" s="46"/>
    </row>
    <row r="144" spans="2:11" x14ac:dyDescent="0.3">
      <c r="B144" s="195" t="s">
        <v>167</v>
      </c>
      <c r="C144" s="46">
        <f>-X_ail+m_ail-p_ail/2</f>
        <v>-946.5</v>
      </c>
      <c r="D144" s="208">
        <f>-D_ail/2-E_ail-Long_tot/30</f>
        <v>-161.86666666666667</v>
      </c>
      <c r="E144" s="93"/>
      <c r="K144" s="46"/>
    </row>
    <row r="145" spans="2:11" x14ac:dyDescent="0.3">
      <c r="B145" s="212" t="s">
        <v>165</v>
      </c>
      <c r="C145" s="200">
        <f>-X_ail+m_ail-p_ail</f>
        <v>-1001</v>
      </c>
      <c r="D145" s="209">
        <f>-D_ail/2-E_ail-Long_tot/30</f>
        <v>-161.86666666666667</v>
      </c>
      <c r="E145" s="93"/>
      <c r="K145" s="46"/>
    </row>
    <row r="146" spans="2:11" x14ac:dyDescent="0.3">
      <c r="B146" s="192" t="str">
        <f>IF(n_ail&gt;0,IF(Lang="Français","Saumon","Tip edge"),"")</f>
        <v>Saumon</v>
      </c>
      <c r="C146" s="197">
        <f>-X_ail+m_ail-p_ail</f>
        <v>-1001</v>
      </c>
      <c r="D146" s="207">
        <f>-D_ail/2-E_ail-Long_tot/20</f>
        <v>-178.55</v>
      </c>
      <c r="E146" s="93"/>
      <c r="K146" s="46"/>
    </row>
    <row r="147" spans="2:11" x14ac:dyDescent="0.3">
      <c r="B147" s="195" t="s">
        <v>169</v>
      </c>
      <c r="C147" s="46">
        <f>-X_ail+m_ail-p_ail-n_ail/2</f>
        <v>-1030.5</v>
      </c>
      <c r="D147" s="208">
        <f>-D_ail/2-E_ail-Long_tot/20</f>
        <v>-178.55</v>
      </c>
      <c r="E147" s="93"/>
      <c r="K147" s="46"/>
    </row>
    <row r="148" spans="2:11" x14ac:dyDescent="0.3">
      <c r="B148" s="212" t="s">
        <v>166</v>
      </c>
      <c r="C148" s="200">
        <f>-X_ail+m_ail-p_ail-n_ail</f>
        <v>-1060</v>
      </c>
      <c r="D148" s="209">
        <f>-D_ail/2-E_ail-Long_tot/20</f>
        <v>-178.55</v>
      </c>
      <c r="E148" s="93"/>
      <c r="K148" s="46"/>
    </row>
    <row r="149" spans="2:11" x14ac:dyDescent="0.3">
      <c r="B149" s="183" t="s">
        <v>82</v>
      </c>
      <c r="C149" s="197">
        <f ca="1">-XcgPlein</f>
        <v>-706.65720524017468</v>
      </c>
      <c r="D149" s="207">
        <v>0</v>
      </c>
      <c r="E149" s="93"/>
      <c r="K149" s="46"/>
    </row>
    <row r="150" spans="2:11" x14ac:dyDescent="0.3">
      <c r="B150" s="187" t="s">
        <v>83</v>
      </c>
      <c r="C150" s="200">
        <f ca="1">-XcgVide</f>
        <v>-688.84543325526931</v>
      </c>
      <c r="D150" s="209">
        <v>0</v>
      </c>
      <c r="E150" s="93"/>
      <c r="K150" s="46"/>
    </row>
    <row r="151" spans="2:11" x14ac:dyDescent="0.3">
      <c r="B151" s="183" t="s">
        <v>84</v>
      </c>
      <c r="C151" s="197">
        <f>-XCp</f>
        <v>-881.7880098292294</v>
      </c>
      <c r="D151" s="207">
        <v>0</v>
      </c>
      <c r="E151" s="93"/>
      <c r="K151" s="46"/>
    </row>
    <row r="152" spans="2:11" x14ac:dyDescent="0.3">
      <c r="B152" s="187" t="s">
        <v>84</v>
      </c>
      <c r="C152" s="200">
        <f>-XCp</f>
        <v>-881.7880098292294</v>
      </c>
      <c r="D152" s="209">
        <f>Cn*D_ref/CritCnmin</f>
        <v>84.556928841874111</v>
      </c>
      <c r="E152" s="93"/>
      <c r="K152" s="46"/>
    </row>
    <row r="153" spans="2:11" x14ac:dyDescent="0.3">
      <c r="B153" s="185" t="s">
        <v>424</v>
      </c>
      <c r="C153" s="46">
        <f>-XCp0</f>
        <v>-881.7880098292294</v>
      </c>
      <c r="D153" s="208">
        <f>Cn0*D_ref/CritCnmin</f>
        <v>84.556928841874111</v>
      </c>
      <c r="E153" s="93"/>
      <c r="K153" s="46"/>
    </row>
    <row r="154" spans="2:11" x14ac:dyDescent="0.3">
      <c r="B154" s="185" t="s">
        <v>424</v>
      </c>
      <c r="C154" s="46">
        <f>-XCp0</f>
        <v>-881.7880098292294</v>
      </c>
      <c r="D154" s="208">
        <v>0</v>
      </c>
      <c r="E154" s="93"/>
      <c r="K154" s="46"/>
    </row>
    <row r="155" spans="2:11" x14ac:dyDescent="0.3">
      <c r="B155" s="192" t="str">
        <f>IF(n_ail&gt;0,IF(Lang="Français","Marge Statique","Static Margin"),"")</f>
        <v>Marge Statique</v>
      </c>
      <c r="C155" s="197">
        <f ca="1">(-XcgPlein-XcgVide)/2</f>
        <v>-697.75131924772199</v>
      </c>
      <c r="D155" s="207">
        <f>-D_ail/2-E_ail-Long_tot/20</f>
        <v>-178.55</v>
      </c>
      <c r="E155" s="93"/>
      <c r="K155" s="46"/>
    </row>
    <row r="156" spans="2:11" x14ac:dyDescent="0.3">
      <c r="B156" s="195" t="s">
        <v>172</v>
      </c>
      <c r="C156" s="46">
        <f ca="1">(C155+C157)/2</f>
        <v>-789.76966453847569</v>
      </c>
      <c r="D156" s="208">
        <f>-D_ail/2-E_ail-Long_tot/20</f>
        <v>-178.55</v>
      </c>
      <c r="E156" s="93"/>
      <c r="K156" s="46"/>
    </row>
    <row r="157" spans="2:11" x14ac:dyDescent="0.3">
      <c r="B157" s="212" t="s">
        <v>173</v>
      </c>
      <c r="C157" s="200">
        <f>-XCp</f>
        <v>-881.7880098292294</v>
      </c>
      <c r="D157" s="209">
        <f>-D_ail/2-E_ail-Long_tot/20</f>
        <v>-178.55</v>
      </c>
      <c r="E157" s="93"/>
      <c r="K157" s="46"/>
    </row>
    <row r="158" spans="2:11" x14ac:dyDescent="0.3">
      <c r="B158" s="183" t="s">
        <v>85</v>
      </c>
      <c r="C158" s="197">
        <f>IF(LEFT(Type_masquage,1)="M",0,-X_can+m_can)</f>
        <v>0</v>
      </c>
      <c r="D158" s="197">
        <f>IF(LEFT(Type_masquage,1)="M",0,D_ail/2)</f>
        <v>0</v>
      </c>
      <c r="E158" s="198">
        <f t="shared" ref="E158:E167" si="1">-D158</f>
        <v>0</v>
      </c>
      <c r="K158" s="46"/>
    </row>
    <row r="159" spans="2:11" x14ac:dyDescent="0.3">
      <c r="B159" s="185" t="s">
        <v>86</v>
      </c>
      <c r="C159" s="46">
        <f>IF(LEFT(Type_masquage,1)="M",0,-X_can+m_can-p_can)</f>
        <v>0</v>
      </c>
      <c r="D159" s="46">
        <f>IF(LEFT(Type_masquage,1)="M",0,D_ail/2+E_can)</f>
        <v>0</v>
      </c>
      <c r="E159" s="199">
        <f t="shared" si="1"/>
        <v>0</v>
      </c>
      <c r="K159" s="46"/>
    </row>
    <row r="160" spans="2:11" x14ac:dyDescent="0.3">
      <c r="B160" s="185" t="s">
        <v>87</v>
      </c>
      <c r="C160" s="46">
        <f>IF(LEFT(Type_masquage,1)="M",0,-X_can+m_can-p_can-n_can)</f>
        <v>0</v>
      </c>
      <c r="D160" s="46">
        <f>IF(LEFT(Type_masquage,1)="M",0,D_ail/2+E_can)</f>
        <v>0</v>
      </c>
      <c r="E160" s="199">
        <f t="shared" si="1"/>
        <v>0</v>
      </c>
      <c r="K160" s="46"/>
    </row>
    <row r="161" spans="2:11" x14ac:dyDescent="0.3">
      <c r="B161" s="185" t="s">
        <v>88</v>
      </c>
      <c r="C161" s="46">
        <f>IF(LEFT(Type_masquage,1)="M",0,-X_can)</f>
        <v>0</v>
      </c>
      <c r="D161" s="46">
        <f>IF(LEFT(Type_masquage,1)="M",0,D_ail/2)</f>
        <v>0</v>
      </c>
      <c r="E161" s="199">
        <f t="shared" si="1"/>
        <v>0</v>
      </c>
      <c r="K161" s="46"/>
    </row>
    <row r="162" spans="2:11" x14ac:dyDescent="0.3">
      <c r="B162" s="187" t="s">
        <v>85</v>
      </c>
      <c r="C162" s="200">
        <f>IF(LEFT(Type_masquage,1)="M",0,-X_can+m_can)</f>
        <v>0</v>
      </c>
      <c r="D162" s="200">
        <f>IF(LEFT(Type_masquage,1)="M",0,D_ail/2)</f>
        <v>0</v>
      </c>
      <c r="E162" s="201">
        <f t="shared" si="1"/>
        <v>0</v>
      </c>
      <c r="K162" s="46"/>
    </row>
    <row r="163" spans="2:11" x14ac:dyDescent="0.3">
      <c r="B163" s="183" t="s">
        <v>89</v>
      </c>
      <c r="C163" s="197">
        <f>IF(LEFT(Type_masquage,1)="B",-X_int+m_int,0)</f>
        <v>0</v>
      </c>
      <c r="D163" s="197">
        <f>IF(LEFT(Type_masquage,1)="B",D_int/2,0)</f>
        <v>0</v>
      </c>
      <c r="E163" s="198">
        <f t="shared" si="1"/>
        <v>0</v>
      </c>
      <c r="K163" s="46"/>
    </row>
    <row r="164" spans="2:11" x14ac:dyDescent="0.3">
      <c r="B164" s="185" t="s">
        <v>90</v>
      </c>
      <c r="C164" s="46">
        <f>IF(LEFT(Type_masquage,1)="B",-X_int+m_int-p_int,0)</f>
        <v>0</v>
      </c>
      <c r="D164" s="46">
        <f>IF(LEFT(Type_masquage,1)="B",D_int/2+E_int,0)</f>
        <v>0</v>
      </c>
      <c r="E164" s="199">
        <f t="shared" si="1"/>
        <v>0</v>
      </c>
      <c r="K164" s="46"/>
    </row>
    <row r="165" spans="2:11" x14ac:dyDescent="0.3">
      <c r="B165" s="185" t="s">
        <v>91</v>
      </c>
      <c r="C165" s="46">
        <f>IF(LEFT(Type_masquage,1)="B",-X_int+m_int-p_int-n_int,0)</f>
        <v>0</v>
      </c>
      <c r="D165" s="46">
        <f>IF(LEFT(Type_masquage,1)="B",D_int/2+E_int,0)</f>
        <v>0</v>
      </c>
      <c r="E165" s="199">
        <f t="shared" si="1"/>
        <v>0</v>
      </c>
      <c r="K165" s="46"/>
    </row>
    <row r="166" spans="2:11" x14ac:dyDescent="0.3">
      <c r="B166" s="185" t="s">
        <v>92</v>
      </c>
      <c r="C166" s="46">
        <f>IF(LEFT(Type_masquage,1)="B",-X_int,0)</f>
        <v>0</v>
      </c>
      <c r="D166" s="46">
        <f>IF(LEFT(Type_masquage,1)="B",D_int/2,0)</f>
        <v>0</v>
      </c>
      <c r="E166" s="199">
        <f t="shared" si="1"/>
        <v>0</v>
      </c>
      <c r="K166" s="46"/>
    </row>
    <row r="167" spans="2:11" x14ac:dyDescent="0.3">
      <c r="B167" s="187" t="s">
        <v>89</v>
      </c>
      <c r="C167" s="200">
        <f>IF(LEFT(Type_masquage,1)="B",-X_int+m_int,0)</f>
        <v>0</v>
      </c>
      <c r="D167" s="200">
        <f>IF(LEFT(Type_masquage,1)="B",D_int/2,0)</f>
        <v>0</v>
      </c>
      <c r="E167" s="201">
        <f t="shared" si="1"/>
        <v>0</v>
      </c>
      <c r="K167" s="46"/>
    </row>
    <row r="168" spans="2:11" x14ac:dyDescent="0.3">
      <c r="B168" s="45" t="s">
        <v>93</v>
      </c>
      <c r="C168" s="46">
        <f>-MAX(Long_tot, X_ail-m_ail+p_ail+n_ail, (E_ail+D_ail/2)*3.2)*1.01</f>
        <v>-1070.5999999999999</v>
      </c>
      <c r="D168" s="46">
        <f>MAX(E_ail+D_ail/2, Long_tot/3)</f>
        <v>333.66666666666669</v>
      </c>
      <c r="E168" s="93"/>
      <c r="K168" s="46"/>
    </row>
    <row r="169" spans="2:11" x14ac:dyDescent="0.3">
      <c r="B169" s="45" t="s">
        <v>93</v>
      </c>
      <c r="C169" s="46">
        <f>C168</f>
        <v>-1070.5999999999999</v>
      </c>
      <c r="D169" s="46">
        <f>-D168</f>
        <v>-333.66666666666669</v>
      </c>
      <c r="E169" s="93"/>
      <c r="K169" s="46"/>
    </row>
    <row r="170" spans="2:11" x14ac:dyDescent="0.3">
      <c r="B170" s="183" t="s">
        <v>94</v>
      </c>
      <c r="C170" s="197">
        <f ca="1">-XpropuRef+Long_propu</f>
        <v>-903</v>
      </c>
      <c r="D170" s="207">
        <f ca="1">-Diam_propu/2</f>
        <v>-14.5</v>
      </c>
      <c r="E170" s="93"/>
      <c r="K170" s="46"/>
    </row>
    <row r="171" spans="2:11" x14ac:dyDescent="0.3">
      <c r="B171" s="185" t="s">
        <v>95</v>
      </c>
      <c r="C171" s="46">
        <f ca="1">-XpropuRef+Long_propu</f>
        <v>-903</v>
      </c>
      <c r="D171" s="208">
        <f ca="1">Diam_propu/2</f>
        <v>14.5</v>
      </c>
      <c r="E171" s="93"/>
      <c r="K171" s="46"/>
    </row>
    <row r="172" spans="2:11" x14ac:dyDescent="0.3">
      <c r="B172" s="185" t="s">
        <v>96</v>
      </c>
      <c r="C172" s="46">
        <f>-XpropuRef</f>
        <v>-1001</v>
      </c>
      <c r="D172" s="208">
        <f ca="1">Diam_propu/2</f>
        <v>14.5</v>
      </c>
      <c r="E172" s="93"/>
      <c r="K172" s="46"/>
    </row>
    <row r="173" spans="2:11" x14ac:dyDescent="0.3">
      <c r="B173" s="185" t="s">
        <v>97</v>
      </c>
      <c r="C173" s="46">
        <f>-XpropuRef</f>
        <v>-1001</v>
      </c>
      <c r="D173" s="208">
        <f ca="1">-Diam_propu/2</f>
        <v>-14.5</v>
      </c>
      <c r="E173" s="93"/>
      <c r="K173" s="46"/>
    </row>
    <row r="174" spans="2:11" x14ac:dyDescent="0.3">
      <c r="B174" s="187" t="s">
        <v>98</v>
      </c>
      <c r="C174" s="200">
        <f ca="1">-XpropuRef+Long_propu</f>
        <v>-903</v>
      </c>
      <c r="D174" s="209">
        <f ca="1">-Diam_propu/2</f>
        <v>-14.5</v>
      </c>
      <c r="E174" s="93"/>
      <c r="F174" s="192" t="s">
        <v>160</v>
      </c>
      <c r="G174" s="193" t="s">
        <v>161</v>
      </c>
      <c r="H174" s="194" t="s">
        <v>162</v>
      </c>
      <c r="K174" s="46"/>
    </row>
    <row r="175" spans="2:11" x14ac:dyDescent="0.3">
      <c r="B175" s="183" t="s">
        <v>71</v>
      </c>
      <c r="C175" s="197">
        <v>0</v>
      </c>
      <c r="D175" s="197">
        <v>0</v>
      </c>
      <c r="E175" s="198">
        <f t="shared" ref="E175:E180" si="2">-D175</f>
        <v>0</v>
      </c>
      <c r="F175" s="195">
        <v>0</v>
      </c>
      <c r="G175" s="45">
        <v>0</v>
      </c>
      <c r="H175" s="189">
        <v>0</v>
      </c>
      <c r="K175" s="46"/>
    </row>
    <row r="176" spans="2:11" x14ac:dyDescent="0.3">
      <c r="B176" s="185" t="s">
        <v>72</v>
      </c>
      <c r="C176" s="46">
        <f>-Long_ogive*0.1</f>
        <v>-19.900000000000002</v>
      </c>
      <c r="D176" s="46">
        <f>IF(LEFT(Forme_ogive,5)="Parab",H176,IF(LEFT(Forme_ogive,4)="Ogiv",G176,IF(LEFT(Forme_ogive,3)="Con",F176)))</f>
        <v>5.9</v>
      </c>
      <c r="E176" s="199">
        <f t="shared" si="2"/>
        <v>-5.9</v>
      </c>
      <c r="F176" s="185">
        <f>D_og/2*0.1</f>
        <v>2.95</v>
      </c>
      <c r="G176" s="45">
        <f>D_og/2*0.2</f>
        <v>5.9</v>
      </c>
      <c r="H176" s="189">
        <f>D_og/2*0.5</f>
        <v>14.75</v>
      </c>
      <c r="K176" s="46"/>
    </row>
    <row r="177" spans="2:11" x14ac:dyDescent="0.3">
      <c r="B177" s="185" t="s">
        <v>72</v>
      </c>
      <c r="C177" s="46">
        <f>-Long_ogive/4</f>
        <v>-49.75</v>
      </c>
      <c r="D177" s="46">
        <f>IF(LEFT(Forme_ogive,5)="Parab",H177,IF(LEFT(Forme_ogive,4)="Ogiv",G177,IF(LEFT(Forme_ogive,3)="Con",F177)))</f>
        <v>14.75</v>
      </c>
      <c r="E177" s="199">
        <f t="shared" si="2"/>
        <v>-14.75</v>
      </c>
      <c r="F177" s="185">
        <f>D_og/2*1/4</f>
        <v>7.375</v>
      </c>
      <c r="G177" s="45">
        <f>D_og/2/2</f>
        <v>14.75</v>
      </c>
      <c r="H177" s="189">
        <f>D_og/2*0.7</f>
        <v>20.65</v>
      </c>
      <c r="K177" s="46"/>
    </row>
    <row r="178" spans="2:11" x14ac:dyDescent="0.3">
      <c r="B178" s="185" t="s">
        <v>72</v>
      </c>
      <c r="C178" s="46">
        <f>-Long_ogive/2</f>
        <v>-99.5</v>
      </c>
      <c r="D178" s="46">
        <f>IF(LEFT(Forme_ogive,5)="Parab",H178,IF(LEFT(Forme_ogive,4)="Ogiv",G178,IF(LEFT(Forme_ogive,3)="Con",F178)))</f>
        <v>22.125</v>
      </c>
      <c r="E178" s="199">
        <f t="shared" si="2"/>
        <v>-22.125</v>
      </c>
      <c r="F178" s="185">
        <f>D_og/2/2</f>
        <v>14.75</v>
      </c>
      <c r="G178" s="45">
        <f>D_og/2*3/4</f>
        <v>22.125</v>
      </c>
      <c r="H178" s="189">
        <f>D_og/2*0.88</f>
        <v>25.96</v>
      </c>
      <c r="K178" s="46"/>
    </row>
    <row r="179" spans="2:11" x14ac:dyDescent="0.3">
      <c r="B179" s="185" t="s">
        <v>72</v>
      </c>
      <c r="C179" s="46">
        <f>-Long_ogive*3/4</f>
        <v>-149.25</v>
      </c>
      <c r="D179" s="46">
        <f>IF(LEFT(Forme_ogive,5)="Parab",H179,IF(LEFT(Forme_ogive,4)="Ogiv",G179,IF(LEFT(Forme_ogive,3)="Con",F179)))</f>
        <v>26.55</v>
      </c>
      <c r="E179" s="199">
        <f t="shared" si="2"/>
        <v>-26.55</v>
      </c>
      <c r="F179" s="185">
        <f>D_og/2*3/4</f>
        <v>22.125</v>
      </c>
      <c r="G179" s="45">
        <f>D_og/2*0.9</f>
        <v>26.55</v>
      </c>
      <c r="H179" s="189">
        <f>D_og/2*0.95</f>
        <v>28.024999999999999</v>
      </c>
      <c r="K179" s="46"/>
    </row>
    <row r="180" spans="2:11" x14ac:dyDescent="0.3">
      <c r="B180" s="187" t="s">
        <v>72</v>
      </c>
      <c r="C180" s="200">
        <f>-Long_ogive</f>
        <v>-199</v>
      </c>
      <c r="D180" s="200">
        <f>D_og/2</f>
        <v>29.5</v>
      </c>
      <c r="E180" s="201">
        <f t="shared" si="2"/>
        <v>-29.5</v>
      </c>
      <c r="F180" s="187">
        <f>D_og/2</f>
        <v>29.5</v>
      </c>
      <c r="G180" s="196">
        <f>D_og/2</f>
        <v>29.5</v>
      </c>
      <c r="H180" s="190">
        <f>D_og/2</f>
        <v>29.5</v>
      </c>
      <c r="K180" s="26"/>
    </row>
    <row r="181" spans="2:11" x14ac:dyDescent="0.3">
      <c r="B181" s="45" t="s">
        <v>99</v>
      </c>
      <c r="C181" s="45" t="s">
        <v>100</v>
      </c>
      <c r="D181" s="183" t="s">
        <v>99</v>
      </c>
      <c r="E181" s="204" t="s">
        <v>100</v>
      </c>
      <c r="K181" s="45"/>
    </row>
    <row r="182" spans="2:11" x14ac:dyDescent="0.3">
      <c r="B182" s="183">
        <v>0</v>
      </c>
      <c r="C182" s="202">
        <f>CritCnmin</f>
        <v>15</v>
      </c>
      <c r="D182" s="185">
        <v>0.5</v>
      </c>
      <c r="E182" s="205">
        <f t="shared" ref="E182:E187" si="3">CritMsCnmin/D182</f>
        <v>60</v>
      </c>
      <c r="K182" s="45"/>
    </row>
    <row r="183" spans="2:11" x14ac:dyDescent="0.3">
      <c r="B183" s="187">
        <v>7</v>
      </c>
      <c r="C183" s="196">
        <f>CritCnmin</f>
        <v>15</v>
      </c>
      <c r="D183" s="185">
        <v>1</v>
      </c>
      <c r="E183" s="205">
        <f t="shared" si="3"/>
        <v>30</v>
      </c>
      <c r="K183" s="45"/>
    </row>
    <row r="184" spans="2:11" x14ac:dyDescent="0.3">
      <c r="B184" s="183">
        <v>0</v>
      </c>
      <c r="C184" s="202">
        <f>CritCnmax</f>
        <v>30</v>
      </c>
      <c r="D184" s="185">
        <v>2</v>
      </c>
      <c r="E184" s="205">
        <f t="shared" si="3"/>
        <v>15</v>
      </c>
      <c r="K184" s="45"/>
    </row>
    <row r="185" spans="2:11" x14ac:dyDescent="0.3">
      <c r="B185" s="187">
        <v>7</v>
      </c>
      <c r="C185" s="196">
        <f>CritCnmax</f>
        <v>30</v>
      </c>
      <c r="D185" s="185">
        <v>3</v>
      </c>
      <c r="E185" s="205">
        <f t="shared" si="3"/>
        <v>10</v>
      </c>
      <c r="K185" s="45"/>
    </row>
    <row r="186" spans="2:11" x14ac:dyDescent="0.3">
      <c r="B186" s="183">
        <f>CritMsmin</f>
        <v>1.5</v>
      </c>
      <c r="C186" s="202">
        <v>0</v>
      </c>
      <c r="D186" s="185">
        <v>5</v>
      </c>
      <c r="E186" s="205">
        <f t="shared" si="3"/>
        <v>6</v>
      </c>
      <c r="K186" s="45"/>
    </row>
    <row r="187" spans="2:11" x14ac:dyDescent="0.3">
      <c r="B187" s="187">
        <f>CritMsmin</f>
        <v>1.5</v>
      </c>
      <c r="C187" s="196">
        <v>55</v>
      </c>
      <c r="D187" s="185">
        <v>7</v>
      </c>
      <c r="E187" s="205">
        <f t="shared" si="3"/>
        <v>4.2857142857142856</v>
      </c>
      <c r="K187" s="45"/>
    </row>
    <row r="188" spans="2:11" x14ac:dyDescent="0.3">
      <c r="B188" s="183">
        <f>CritMsmax</f>
        <v>6</v>
      </c>
      <c r="C188" s="202">
        <v>0</v>
      </c>
      <c r="D188" s="185">
        <v>1</v>
      </c>
      <c r="E188" s="205">
        <f t="shared" ref="E188:E193" si="4">CritMsCnmax/D188</f>
        <v>100</v>
      </c>
      <c r="K188" s="45"/>
    </row>
    <row r="189" spans="2:11" x14ac:dyDescent="0.3">
      <c r="B189" s="187">
        <f>CritMsmax</f>
        <v>6</v>
      </c>
      <c r="C189" s="196">
        <v>55</v>
      </c>
      <c r="D189" s="185">
        <v>2</v>
      </c>
      <c r="E189" s="205">
        <f t="shared" si="4"/>
        <v>50</v>
      </c>
      <c r="K189" s="45"/>
    </row>
    <row r="190" spans="2:11" x14ac:dyDescent="0.3">
      <c r="B190" s="191">
        <f ca="1">MS_min</f>
        <v>2.9683187218483851</v>
      </c>
      <c r="C190" s="203">
        <f>Cn</f>
        <v>21.497524281832401</v>
      </c>
      <c r="D190" s="185">
        <v>3</v>
      </c>
      <c r="E190" s="205">
        <f t="shared" si="4"/>
        <v>33.333333333333336</v>
      </c>
      <c r="K190" s="45"/>
    </row>
    <row r="191" spans="2:11" x14ac:dyDescent="0.3">
      <c r="B191" s="512">
        <f ca="1">(XCp0-XcgPlein)/D_ref</f>
        <v>2.9683187218483851</v>
      </c>
      <c r="C191" s="513">
        <f>Cn0</f>
        <v>21.497524281832401</v>
      </c>
      <c r="D191" s="185">
        <v>4</v>
      </c>
      <c r="E191" s="205">
        <f t="shared" si="4"/>
        <v>25</v>
      </c>
      <c r="K191" s="45"/>
    </row>
    <row r="192" spans="2:11" x14ac:dyDescent="0.3">
      <c r="B192" s="512">
        <f ca="1">(XCp0-XcgVide)/D_ref</f>
        <v>3.27021316227051</v>
      </c>
      <c r="C192" s="513">
        <f>Cn0</f>
        <v>21.497524281832401</v>
      </c>
      <c r="D192" s="185">
        <v>6</v>
      </c>
      <c r="E192" s="205">
        <f t="shared" si="4"/>
        <v>16.666666666666668</v>
      </c>
      <c r="K192" s="45"/>
    </row>
    <row r="193" spans="2:11" x14ac:dyDescent="0.3">
      <c r="B193" s="512">
        <f ca="1">(XCp-XcgVide)/D_ref</f>
        <v>3.27021316227051</v>
      </c>
      <c r="C193" s="513">
        <f>Cn</f>
        <v>21.497524281832401</v>
      </c>
      <c r="D193" s="187">
        <v>7</v>
      </c>
      <c r="E193" s="206">
        <f t="shared" si="4"/>
        <v>14.285714285714286</v>
      </c>
      <c r="K193" s="45"/>
    </row>
    <row r="194" spans="2:11" x14ac:dyDescent="0.3">
      <c r="B194" s="512">
        <f ca="1">MS_min</f>
        <v>2.9683187218483851</v>
      </c>
      <c r="C194" s="514">
        <f>Cn</f>
        <v>21.497524281832401</v>
      </c>
      <c r="D194" s="45"/>
      <c r="E194" s="92"/>
      <c r="K194" s="45"/>
    </row>
    <row r="195" spans="2:11" x14ac:dyDescent="0.3">
      <c r="B195" s="183">
        <v>0</v>
      </c>
      <c r="C195" s="202">
        <f>(CritCnmin+CritCnmax)/2</f>
        <v>22.5</v>
      </c>
      <c r="D195" s="26"/>
      <c r="E195" s="90"/>
      <c r="K195" s="26"/>
    </row>
    <row r="196" spans="2:11" x14ac:dyDescent="0.3">
      <c r="B196" s="185">
        <f>MAX(CritMsmin,CritMsCnmin/C196)</f>
        <v>1.5</v>
      </c>
      <c r="C196" s="45">
        <f>(CritCnmin+CritCnmax)/2</f>
        <v>22.5</v>
      </c>
      <c r="D196" s="26"/>
      <c r="E196" s="90"/>
      <c r="K196" s="26"/>
    </row>
    <row r="197" spans="2:11" x14ac:dyDescent="0.3">
      <c r="B197" s="185">
        <f>MIN(CritMsmax,CritMsCnmax/C197)</f>
        <v>4.4444444444444446</v>
      </c>
      <c r="C197" s="189">
        <f>(CritCnmin+CritCnmax)/2</f>
        <v>22.5</v>
      </c>
    </row>
    <row r="198" spans="2:11" x14ac:dyDescent="0.3">
      <c r="B198" s="187">
        <v>7</v>
      </c>
      <c r="C198" s="190">
        <f>(CritCnmin+CritCnmax)/2</f>
        <v>22.5</v>
      </c>
    </row>
    <row r="199" spans="2:11" x14ac:dyDescent="0.3">
      <c r="B199" s="183">
        <f>(CritMsmin+CritMsmax)/2</f>
        <v>3.75</v>
      </c>
      <c r="C199" s="184">
        <v>0</v>
      </c>
    </row>
    <row r="200" spans="2:11" x14ac:dyDescent="0.3">
      <c r="B200" s="185">
        <f>(CritMsmin+CritMsmax)/2</f>
        <v>3.75</v>
      </c>
      <c r="C200" s="186">
        <f>MAX(CritCnmin,CritMsCnmin/B200)</f>
        <v>15</v>
      </c>
    </row>
    <row r="201" spans="2:11" x14ac:dyDescent="0.3">
      <c r="B201" s="185">
        <f>(CritMsmin+CritMsmax)/2</f>
        <v>3.75</v>
      </c>
      <c r="C201" s="186">
        <f>MIN(CritCnmax,CritMsCnmax/B201)</f>
        <v>26.666666666666668</v>
      </c>
    </row>
    <row r="202" spans="2:11" x14ac:dyDescent="0.3">
      <c r="B202" s="187">
        <f>(CritMsmin+CritMsmax)/2</f>
        <v>3.75</v>
      </c>
      <c r="C202" s="188">
        <v>55</v>
      </c>
    </row>
    <row r="203" spans="2:11" x14ac:dyDescent="0.3">
      <c r="D203" s="474"/>
    </row>
    <row r="204" spans="2:11" x14ac:dyDescent="0.3">
      <c r="B204" s="476" t="s">
        <v>407</v>
      </c>
      <c r="C204" s="31" t="b">
        <f ca="1">(OR(C205:C210))</f>
        <v>1</v>
      </c>
      <c r="D204" s="474"/>
    </row>
    <row r="205" spans="2:11" x14ac:dyDescent="0.3">
      <c r="B205" s="475" t="s">
        <v>404</v>
      </c>
      <c r="C205" s="474" t="b">
        <f ca="1">AND(Type_propu="H2O",RIGHT(Type_fusee,1)=" ")</f>
        <v>0</v>
      </c>
      <c r="D205" s="474"/>
    </row>
    <row r="206" spans="2:11" x14ac:dyDescent="0.3">
      <c r="B206" s="475" t="s">
        <v>118</v>
      </c>
      <c r="C206" s="474" t="b">
        <f ca="1">AND(Type_propu="Fusex",RIGHT(Type_fusee,1)=".")</f>
        <v>0</v>
      </c>
      <c r="D206" s="474"/>
    </row>
    <row r="207" spans="2:11" x14ac:dyDescent="0.3">
      <c r="B207" s="475" t="s">
        <v>405</v>
      </c>
      <c r="C207" s="474" t="b">
        <f ca="1">LEFT(Type_propu,5)=LEFT(Type_fusee,5)</f>
        <v>0</v>
      </c>
      <c r="D207" s="474"/>
    </row>
    <row r="208" spans="2:11" x14ac:dyDescent="0.3">
      <c r="B208" s="475" t="s">
        <v>406</v>
      </c>
      <c r="C208" s="474" t="b">
        <f ca="1">AND(RIGHT(Type_propu,1)="N",LEFT(Type_fusee,4)="Mini")</f>
        <v>1</v>
      </c>
      <c r="D208" s="474"/>
    </row>
    <row r="209" spans="1:3" x14ac:dyDescent="0.3">
      <c r="B209" s="475" t="s">
        <v>408</v>
      </c>
      <c r="C209" s="474" t="b">
        <f ca="1">AND(LEFT(Type_propu,5)="MiniR",LEFT(Type_fusee,1)="R")</f>
        <v>0</v>
      </c>
    </row>
    <row r="210" spans="1:3" x14ac:dyDescent="0.3">
      <c r="B210" s="475" t="s">
        <v>398</v>
      </c>
      <c r="C210" s="474" t="b">
        <f ca="1">AND(LEFT(Type_propu,4)="Mini",LEFT(Type_fusee,1)=",")</f>
        <v>0</v>
      </c>
    </row>
    <row r="223" spans="1:3" x14ac:dyDescent="0.3">
      <c r="A223" s="24" t="s">
        <v>465</v>
      </c>
    </row>
    <row r="226" spans="1:1" x14ac:dyDescent="0.3">
      <c r="A226" s="24" t="s">
        <v>478</v>
      </c>
    </row>
    <row r="228" spans="1:1" x14ac:dyDescent="0.3">
      <c r="A228" s="24" t="s">
        <v>479</v>
      </c>
    </row>
    <row r="230" spans="1:1" x14ac:dyDescent="0.3">
      <c r="A230" s="24" t="s">
        <v>480</v>
      </c>
    </row>
    <row r="232" spans="1:1" x14ac:dyDescent="0.3">
      <c r="A232" s="24" t="s">
        <v>481</v>
      </c>
    </row>
    <row r="233" spans="1:1" x14ac:dyDescent="0.3">
      <c r="A233" s="24" t="s">
        <v>482</v>
      </c>
    </row>
    <row r="234" spans="1:1" x14ac:dyDescent="0.3">
      <c r="A234" s="24" t="s">
        <v>483</v>
      </c>
    </row>
    <row r="235" spans="1:1" x14ac:dyDescent="0.3">
      <c r="A235" s="24" t="s">
        <v>484</v>
      </c>
    </row>
    <row r="236" spans="1:1" x14ac:dyDescent="0.3">
      <c r="A236" s="24" t="s">
        <v>485</v>
      </c>
    </row>
    <row r="237" spans="1:1" x14ac:dyDescent="0.3">
      <c r="A237" s="24" t="s">
        <v>486</v>
      </c>
    </row>
    <row r="238" spans="1:1" x14ac:dyDescent="0.3">
      <c r="A238" s="24" t="s">
        <v>185</v>
      </c>
    </row>
    <row r="239" spans="1:1" x14ac:dyDescent="0.3">
      <c r="A239" s="24" t="s">
        <v>487</v>
      </c>
    </row>
    <row r="240" spans="1:1" x14ac:dyDescent="0.3">
      <c r="A240" s="24" t="s">
        <v>488</v>
      </c>
    </row>
    <row r="241" spans="1:1" x14ac:dyDescent="0.3">
      <c r="A241" s="24" t="s">
        <v>185</v>
      </c>
    </row>
    <row r="242" spans="1:1" x14ac:dyDescent="0.3">
      <c r="A242" s="24" t="s">
        <v>489</v>
      </c>
    </row>
    <row r="244" spans="1:1" x14ac:dyDescent="0.3">
      <c r="A244" s="24" t="s">
        <v>490</v>
      </c>
    </row>
    <row r="246" spans="1:1" x14ac:dyDescent="0.3">
      <c r="A246" s="24" t="s">
        <v>491</v>
      </c>
    </row>
    <row r="248" spans="1:1" x14ac:dyDescent="0.3">
      <c r="A248" s="24" t="s">
        <v>492</v>
      </c>
    </row>
    <row r="249" spans="1:1" x14ac:dyDescent="0.3">
      <c r="A249" s="24" t="s">
        <v>493</v>
      </c>
    </row>
    <row r="250" spans="1:1" x14ac:dyDescent="0.3">
      <c r="A250" s="24" t="s">
        <v>494</v>
      </c>
    </row>
    <row r="251" spans="1:1" x14ac:dyDescent="0.3">
      <c r="A251" s="24" t="s">
        <v>495</v>
      </c>
    </row>
    <row r="252" spans="1:1" x14ac:dyDescent="0.3">
      <c r="A252" s="24" t="s">
        <v>496</v>
      </c>
    </row>
    <row r="254" spans="1:1" x14ac:dyDescent="0.3">
      <c r="A254" s="24" t="s">
        <v>497</v>
      </c>
    </row>
    <row r="255" spans="1:1" x14ac:dyDescent="0.3">
      <c r="A255" s="24" t="s">
        <v>498</v>
      </c>
    </row>
    <row r="256" spans="1:1" x14ac:dyDescent="0.3">
      <c r="A256" s="24" t="s">
        <v>499</v>
      </c>
    </row>
    <row r="257" spans="1:1" x14ac:dyDescent="0.3">
      <c r="A257" s="24" t="s">
        <v>500</v>
      </c>
    </row>
    <row r="258" spans="1:1" x14ac:dyDescent="0.3">
      <c r="A258" s="24" t="s">
        <v>501</v>
      </c>
    </row>
    <row r="261" spans="1:1" x14ac:dyDescent="0.3">
      <c r="A261" s="24" t="s">
        <v>502</v>
      </c>
    </row>
    <row r="262" spans="1:1" x14ac:dyDescent="0.3">
      <c r="A262" s="24" t="s">
        <v>503</v>
      </c>
    </row>
    <row r="263" spans="1:1" x14ac:dyDescent="0.3">
      <c r="A263" s="24" t="s">
        <v>504</v>
      </c>
    </row>
    <row r="264" spans="1:1" x14ac:dyDescent="0.3">
      <c r="A264" s="24" t="s">
        <v>505</v>
      </c>
    </row>
    <row r="265" spans="1:1" x14ac:dyDescent="0.3">
      <c r="A265" s="24" t="s">
        <v>506</v>
      </c>
    </row>
    <row r="267" spans="1:1" x14ac:dyDescent="0.3">
      <c r="A267" s="24" t="s">
        <v>499</v>
      </c>
    </row>
    <row r="268" spans="1:1" x14ac:dyDescent="0.3">
      <c r="A268" s="24" t="s">
        <v>500</v>
      </c>
    </row>
    <row r="269" spans="1:1" x14ac:dyDescent="0.3">
      <c r="A269" s="24" t="s">
        <v>507</v>
      </c>
    </row>
    <row r="272" spans="1:1" x14ac:dyDescent="0.3">
      <c r="A272" s="24" t="s">
        <v>467</v>
      </c>
    </row>
    <row r="273" spans="1:1" x14ac:dyDescent="0.3">
      <c r="A273" s="24" t="s">
        <v>468</v>
      </c>
    </row>
    <row r="275" spans="1:1" x14ac:dyDescent="0.3">
      <c r="A275" s="24" t="s">
        <v>508</v>
      </c>
    </row>
    <row r="277" spans="1:1" x14ac:dyDescent="0.3">
      <c r="A277" s="24" t="s">
        <v>507</v>
      </c>
    </row>
    <row r="280" spans="1:1" x14ac:dyDescent="0.3">
      <c r="A280" s="24" t="s">
        <v>469</v>
      </c>
    </row>
    <row r="281" spans="1:1" x14ac:dyDescent="0.3">
      <c r="A281" s="24" t="s">
        <v>470</v>
      </c>
    </row>
    <row r="282" spans="1:1" x14ac:dyDescent="0.3">
      <c r="A282" s="24" t="s">
        <v>509</v>
      </c>
    </row>
    <row r="283" spans="1:1" x14ac:dyDescent="0.3">
      <c r="A283" s="24" t="s">
        <v>510</v>
      </c>
    </row>
    <row r="284" spans="1:1" x14ac:dyDescent="0.3">
      <c r="A284" s="24" t="s">
        <v>507</v>
      </c>
    </row>
    <row r="285" spans="1:1" x14ac:dyDescent="0.3">
      <c r="A285" s="24" t="s">
        <v>471</v>
      </c>
    </row>
    <row r="287" spans="1:1" x14ac:dyDescent="0.3">
      <c r="A287" s="24" t="s">
        <v>511</v>
      </c>
    </row>
    <row r="288" spans="1:1" x14ac:dyDescent="0.3">
      <c r="A288" s="24" t="s">
        <v>509</v>
      </c>
    </row>
    <row r="289" spans="1:1" x14ac:dyDescent="0.3">
      <c r="A289" s="24" t="s">
        <v>512</v>
      </c>
    </row>
    <row r="291" spans="1:1" x14ac:dyDescent="0.3">
      <c r="A291" s="24" t="s">
        <v>507</v>
      </c>
    </row>
    <row r="294" spans="1:1" x14ac:dyDescent="0.3">
      <c r="A294" s="24" t="s">
        <v>513</v>
      </c>
    </row>
    <row r="295" spans="1:1" x14ac:dyDescent="0.3">
      <c r="A295" s="24" t="s">
        <v>514</v>
      </c>
    </row>
    <row r="296" spans="1:1" x14ac:dyDescent="0.3">
      <c r="A296" s="24" t="s">
        <v>515</v>
      </c>
    </row>
    <row r="298" spans="1:1" x14ac:dyDescent="0.3">
      <c r="A298" s="24" t="s">
        <v>507</v>
      </c>
    </row>
    <row r="301" spans="1:1" x14ac:dyDescent="0.3">
      <c r="A301" s="24" t="s">
        <v>516</v>
      </c>
    </row>
    <row r="302" spans="1:1" x14ac:dyDescent="0.3">
      <c r="A302" s="24" t="s">
        <v>517</v>
      </c>
    </row>
    <row r="304" spans="1:1" x14ac:dyDescent="0.3">
      <c r="A304" s="24" t="s">
        <v>518</v>
      </c>
    </row>
    <row r="305" spans="1:1" x14ac:dyDescent="0.3">
      <c r="A305" s="24" t="s">
        <v>519</v>
      </c>
    </row>
    <row r="306" spans="1:1" x14ac:dyDescent="0.3">
      <c r="A306" s="24" t="s">
        <v>507</v>
      </c>
    </row>
    <row r="309" spans="1:1" x14ac:dyDescent="0.3">
      <c r="A309" s="24" t="s">
        <v>516</v>
      </c>
    </row>
    <row r="310" spans="1:1" x14ac:dyDescent="0.3">
      <c r="A310" s="24" t="s">
        <v>520</v>
      </c>
    </row>
    <row r="311" spans="1:1" x14ac:dyDescent="0.3">
      <c r="A311" s="24" t="s">
        <v>516</v>
      </c>
    </row>
    <row r="312" spans="1:1" x14ac:dyDescent="0.3">
      <c r="A312" s="24" t="s">
        <v>521</v>
      </c>
    </row>
    <row r="314" spans="1:1" x14ac:dyDescent="0.3">
      <c r="A314" s="24" t="s">
        <v>522</v>
      </c>
    </row>
    <row r="316" spans="1:1" x14ac:dyDescent="0.3">
      <c r="A316" s="24" t="s">
        <v>507</v>
      </c>
    </row>
    <row r="319" spans="1:1" x14ac:dyDescent="0.3">
      <c r="A319" s="24" t="s">
        <v>516</v>
      </c>
    </row>
    <row r="320" spans="1:1" x14ac:dyDescent="0.3">
      <c r="A320" s="24" t="s">
        <v>523</v>
      </c>
    </row>
    <row r="321" spans="1:1" x14ac:dyDescent="0.3">
      <c r="A321" s="24" t="s">
        <v>524</v>
      </c>
    </row>
    <row r="322" spans="1:1" x14ac:dyDescent="0.3">
      <c r="A322" s="24" t="s">
        <v>525</v>
      </c>
    </row>
    <row r="324" spans="1:1" x14ac:dyDescent="0.3">
      <c r="A324" s="24" t="s">
        <v>507</v>
      </c>
    </row>
    <row r="326" spans="1:1" x14ac:dyDescent="0.3">
      <c r="A326" s="24" t="s">
        <v>466</v>
      </c>
    </row>
    <row r="329" spans="1:1" x14ac:dyDescent="0.3">
      <c r="A329" s="24" t="s">
        <v>472</v>
      </c>
    </row>
    <row r="330" spans="1:1" x14ac:dyDescent="0.3">
      <c r="A330" s="24" t="s">
        <v>473</v>
      </c>
    </row>
    <row r="331" spans="1:1" x14ac:dyDescent="0.3">
      <c r="A331" s="24" t="s">
        <v>526</v>
      </c>
    </row>
    <row r="332" spans="1:1" x14ac:dyDescent="0.3">
      <c r="A332" s="24" t="s">
        <v>527</v>
      </c>
    </row>
    <row r="333" spans="1:1" x14ac:dyDescent="0.3">
      <c r="A333" s="24" t="s">
        <v>528</v>
      </c>
    </row>
    <row r="334" spans="1:1" x14ac:dyDescent="0.3">
      <c r="A334" s="24" t="s">
        <v>529</v>
      </c>
    </row>
    <row r="335" spans="1:1" x14ac:dyDescent="0.3">
      <c r="A335" s="24" t="s">
        <v>530</v>
      </c>
    </row>
    <row r="336" spans="1:1" x14ac:dyDescent="0.3">
      <c r="A336" s="24" t="s">
        <v>483</v>
      </c>
    </row>
    <row r="337" spans="1:1" x14ac:dyDescent="0.3">
      <c r="A337" s="24" t="s">
        <v>474</v>
      </c>
    </row>
    <row r="340" spans="1:1" x14ac:dyDescent="0.3">
      <c r="A340" s="24" t="s">
        <v>475</v>
      </c>
    </row>
    <row r="342" spans="1:1" x14ac:dyDescent="0.3">
      <c r="A342" s="24" t="s">
        <v>531</v>
      </c>
    </row>
    <row r="343" spans="1:1" x14ac:dyDescent="0.3">
      <c r="A343" s="24" t="s">
        <v>532</v>
      </c>
    </row>
    <row r="344" spans="1:1" x14ac:dyDescent="0.3">
      <c r="A344" s="24" t="s">
        <v>533</v>
      </c>
    </row>
    <row r="345" spans="1:1" x14ac:dyDescent="0.3">
      <c r="A345" s="24" t="s">
        <v>534</v>
      </c>
    </row>
    <row r="346" spans="1:1" x14ac:dyDescent="0.3">
      <c r="A346" s="24" t="s">
        <v>535</v>
      </c>
    </row>
    <row r="347" spans="1:1" x14ac:dyDescent="0.3">
      <c r="A347" s="24" t="s">
        <v>483</v>
      </c>
    </row>
    <row r="348" spans="1:1" x14ac:dyDescent="0.3">
      <c r="A348" s="24" t="s">
        <v>476</v>
      </c>
    </row>
    <row r="349" spans="1:1" x14ac:dyDescent="0.3">
      <c r="A349" s="24" t="s">
        <v>536</v>
      </c>
    </row>
    <row r="350" spans="1:1" x14ac:dyDescent="0.3">
      <c r="A350" s="24" t="s">
        <v>537</v>
      </c>
    </row>
    <row r="352" spans="1:1" x14ac:dyDescent="0.3">
      <c r="A352" s="24" t="s">
        <v>507</v>
      </c>
    </row>
    <row r="355" spans="1:1" x14ac:dyDescent="0.3">
      <c r="A355" s="24" t="s">
        <v>466</v>
      </c>
    </row>
    <row r="361" spans="1:1" x14ac:dyDescent="0.3">
      <c r="A361" s="24" t="s">
        <v>477</v>
      </c>
    </row>
  </sheetData>
  <sheetProtection algorithmName="SHA-512" hashValue="lr7AUTmqQKWCln9lxU/pkY39SNhSvguOSf0niYW80GvK2cC/MbUIRDjvwd1bIGz8aqjd6a7y3D66efnX6zcc6g==" saltValue="kioZ43ZFarxjOdpvjH0yzw==" spinCount="100000" sheet="1" objects="1" scenarios="1"/>
  <dataConsolidate/>
  <mergeCells count="56">
    <mergeCell ref="H33:I34"/>
    <mergeCell ref="M4:P4"/>
    <mergeCell ref="M2:P2"/>
    <mergeCell ref="N13:O13"/>
    <mergeCell ref="N12:O12"/>
    <mergeCell ref="O9:P9"/>
    <mergeCell ref="O8:P8"/>
    <mergeCell ref="O7:P7"/>
    <mergeCell ref="H27:I27"/>
    <mergeCell ref="M18:N18"/>
    <mergeCell ref="L3:M3"/>
    <mergeCell ref="N11:O11"/>
    <mergeCell ref="O6:P6"/>
    <mergeCell ref="O5:P5"/>
    <mergeCell ref="O17:P17"/>
    <mergeCell ref="O18:P18"/>
    <mergeCell ref="C27:D27"/>
    <mergeCell ref="C19:D19"/>
    <mergeCell ref="C20:D20"/>
    <mergeCell ref="O23:P23"/>
    <mergeCell ref="O24:P24"/>
    <mergeCell ref="C23:D23"/>
    <mergeCell ref="C22:D22"/>
    <mergeCell ref="C24:D24"/>
    <mergeCell ref="C2:D3"/>
    <mergeCell ref="C4:D4"/>
    <mergeCell ref="M22:N22"/>
    <mergeCell ref="M19:N19"/>
    <mergeCell ref="M9:N9"/>
    <mergeCell ref="M7:N7"/>
    <mergeCell ref="M8:N8"/>
    <mergeCell ref="C7:D7"/>
    <mergeCell ref="C11:D11"/>
    <mergeCell ref="M5:N5"/>
    <mergeCell ref="M6:N6"/>
    <mergeCell ref="M20:N20"/>
    <mergeCell ref="N14:O14"/>
    <mergeCell ref="N15:O15"/>
    <mergeCell ref="M17:N17"/>
    <mergeCell ref="C15:D15"/>
    <mergeCell ref="C5:D5"/>
    <mergeCell ref="H26:I26"/>
    <mergeCell ref="C17:D17"/>
    <mergeCell ref="C18:D18"/>
    <mergeCell ref="O21:P21"/>
    <mergeCell ref="M21:N21"/>
    <mergeCell ref="O19:P19"/>
    <mergeCell ref="O22:P22"/>
    <mergeCell ref="C21:D21"/>
    <mergeCell ref="C6:D6"/>
    <mergeCell ref="C14:D14"/>
    <mergeCell ref="C8:D8"/>
    <mergeCell ref="C9:D9"/>
    <mergeCell ref="O20:P20"/>
    <mergeCell ref="M23:N23"/>
    <mergeCell ref="M24:N24"/>
  </mergeCells>
  <phoneticPr fontId="8" type="noConversion"/>
  <conditionalFormatting sqref="B15:D15 B35:C35">
    <cfRule type="expression" dxfId="53" priority="21" stopIfTrue="1">
      <formula>AND(IF(RIGHT(Nb_diam,1)=",",1),IF(LEFT(Type_masquage,1)="M",1))</formula>
    </cfRule>
  </conditionalFormatting>
  <conditionalFormatting sqref="C12">
    <cfRule type="cellIs" dxfId="52" priority="25" stopIfTrue="1" operator="equal">
      <formula>359</formula>
    </cfRule>
    <cfRule type="expression" dxfId="51" priority="28" stopIfTrue="1">
      <formula>OR(MasseSans&lt;MpropuVide, MasseSans&gt;20*MpropuPlein)</formula>
    </cfRule>
  </conditionalFormatting>
  <conditionalFormatting sqref="C13">
    <cfRule type="cellIs" dxfId="50" priority="24" stopIfTrue="1" operator="equal">
      <formula>639</formula>
    </cfRule>
  </conditionalFormatting>
  <conditionalFormatting sqref="C15 C35 C24:D24">
    <cfRule type="cellIs" dxfId="49" priority="37" stopIfTrue="1" operator="equal">
      <formula>59</formula>
    </cfRule>
  </conditionalFormatting>
  <conditionalFormatting sqref="C18">
    <cfRule type="expression" dxfId="48" priority="151" stopIfTrue="1">
      <formula>C204</formula>
    </cfRule>
  </conditionalFormatting>
  <conditionalFormatting sqref="C28 C30">
    <cfRule type="cellIs" dxfId="47" priority="18" stopIfTrue="1" operator="equal">
      <formula>109</formula>
    </cfRule>
  </conditionalFormatting>
  <conditionalFormatting sqref="C29">
    <cfRule type="cellIs" dxfId="46" priority="19" stopIfTrue="1" operator="equal">
      <formula>59</formula>
    </cfRule>
  </conditionalFormatting>
  <conditionalFormatting sqref="C31">
    <cfRule type="cellIs" dxfId="45" priority="20" stopIfTrue="1" operator="equal">
      <formula>99</formula>
    </cfRule>
  </conditionalFormatting>
  <conditionalFormatting sqref="C14:D14 C19 C34">
    <cfRule type="cellIs" dxfId="44" priority="23" stopIfTrue="1" operator="equal">
      <formula>1001</formula>
    </cfRule>
  </conditionalFormatting>
  <conditionalFormatting sqref="C23:D23">
    <cfRule type="cellIs" dxfId="43" priority="22" stopIfTrue="1" operator="equal">
      <formula>199</formula>
    </cfRule>
  </conditionalFormatting>
  <conditionalFormatting sqref="D10">
    <cfRule type="expression" dxfId="42" priority="1">
      <formula>NOT(OR((LEFT(Type_fusee,4)="Mini"),(RIGHT(Type_fusee,1)=".")))</formula>
    </cfRule>
  </conditionalFormatting>
  <conditionalFormatting sqref="D18">
    <cfRule type="expression" dxfId="41" priority="11" stopIfTrue="1">
      <formula>D202</formula>
    </cfRule>
  </conditionalFormatting>
  <conditionalFormatting sqref="H28">
    <cfRule type="expression" dxfId="40" priority="47" stopIfTrue="1">
      <formula>OR(Cn&lt;CritCnmin,Cn&gt;CritCnmax)</formula>
    </cfRule>
  </conditionalFormatting>
  <conditionalFormatting sqref="H29">
    <cfRule type="expression" dxfId="39" priority="46" stopIfTrue="1">
      <formula>OR(MS_min&lt;CritMsmin,MS_min&gt;CritMsmax)</formula>
    </cfRule>
  </conditionalFormatting>
  <conditionalFormatting sqref="H30">
    <cfRule type="expression" dxfId="38" priority="44" stopIfTrue="1">
      <formula>OR(MS_Cn_min&lt;CritMsCnmin,MS_Cn_min&gt;CritMsCnmax)</formula>
    </cfRule>
  </conditionalFormatting>
  <conditionalFormatting sqref="H27:I27">
    <cfRule type="expression" dxfId="37" priority="48" stopIfTrue="1">
      <formula>OR(Finesse&lt;CritFinessemin,Finesse&gt;CritFinessemax)</formula>
    </cfRule>
  </conditionalFormatting>
  <conditionalFormatting sqref="H33:I34">
    <cfRule type="expression" dxfId="36" priority="51" stopIfTrue="1">
      <formula>$H$33="STABLE"</formula>
    </cfRule>
  </conditionalFormatting>
  <conditionalFormatting sqref="I28">
    <cfRule type="expression" dxfId="35" priority="6" stopIfTrue="1">
      <formula>OR(Cn0&lt;CritCnmin,Cn0&gt;CritCnmax)</formula>
    </cfRule>
  </conditionalFormatting>
  <conditionalFormatting sqref="I29">
    <cfRule type="expression" dxfId="34" priority="45" stopIfTrue="1">
      <formula>OR(MS_max&lt;CritMsmin,MS_max&gt;CritMsmax)</formula>
    </cfRule>
  </conditionalFormatting>
  <conditionalFormatting sqref="I30">
    <cfRule type="expression" dxfId="33" priority="43" stopIfTrue="1">
      <formula>OR(MS_Cn_max&lt;CritMsCnmin,MS_Cn_max&gt;CritMsCnmax)</formula>
    </cfRule>
  </conditionalFormatting>
  <conditionalFormatting sqref="L39:M39">
    <cfRule type="expression" dxfId="32" priority="239" stopIfTrue="1">
      <formula>OR(SUM($C$28:$C$33)=273, $H$33&lt;&gt;"STABLE")</formula>
    </cfRule>
  </conditionalFormatting>
  <conditionalFormatting sqref="L6:P9">
    <cfRule type="expression" dxfId="31" priority="49" stopIfTrue="1">
      <formula>IF(RIGHT(Nb_diam,1)=",",1)</formula>
    </cfRule>
  </conditionalFormatting>
  <conditionalFormatting sqref="L20:P22 E25 D26 E27:E35 D28:D35 B36:E36">
    <cfRule type="expression" dxfId="30" priority="84" stopIfTrue="1">
      <formula>IF(LEFT(Type_masquage,1)="M",1)</formula>
    </cfRule>
  </conditionalFormatting>
  <conditionalFormatting sqref="L23:P24">
    <cfRule type="expression" dxfId="29" priority="65" stopIfTrue="1">
      <formula>IF(RIGHT(Nb_diam,1)=",",1)</formula>
    </cfRule>
  </conditionalFormatting>
  <conditionalFormatting sqref="M37 O37">
    <cfRule type="expression" dxfId="28" priority="142" stopIfTrue="1">
      <formula>$M$37="propu NOK"</formula>
    </cfRule>
  </conditionalFormatting>
  <conditionalFormatting sqref="M5:P5">
    <cfRule type="expression" dxfId="27" priority="39" stopIfTrue="1">
      <formula>IF(RIGHT(Nb_diam,1)=",",1)</formula>
    </cfRule>
  </conditionalFormatting>
  <conditionalFormatting sqref="N37">
    <cfRule type="expression" dxfId="26" priority="27" stopIfTrue="1">
      <formula>(ROUND(SUM(C2:D35),0)=5694)</formula>
    </cfRule>
  </conditionalFormatting>
  <dataValidations count="13">
    <dataValidation type="whole" allowBlank="1" showInputMessage="1" showErrorMessage="1" error="Tapez un entier entre 3 et 6." sqref="C33:D33" xr:uid="{00000000-0002-0000-0000-000000000000}">
      <formula1>3</formula1>
      <formula2>6</formula2>
    </dataValidation>
    <dataValidation type="decimal" operator="notEqual" allowBlank="1" showInputMessage="1" showErrorMessage="1" error="Tapez uniquement la longueur, sans l'unité." sqref="C30:D30" xr:uid="{00000000-0002-0000-0000-000001000000}">
      <formula1>1E+100</formula1>
    </dataValidation>
    <dataValidation type="decimal" operator="greaterThanOrEqual" allowBlank="1" showInputMessage="1" showErrorMessage="1" error="Tapez uniquement la longueur, sans l'unité." sqref="C28:D29 C34:D35 C31:D32 M6:O9" xr:uid="{00000000-0002-0000-0000-000002000000}">
      <formula1>0</formula1>
    </dataValidation>
    <dataValidation type="list" showInputMessage="1" showErrorMessage="1" sqref="C27:D27" xr:uid="{00000000-0002-0000-0000-000003000000}">
      <formula1>Menu_Empennage</formula1>
    </dataValidation>
    <dataValidation type="list" showInputMessage="1" showErrorMessage="1" sqref="C18:D18" xr:uid="{00000000-0002-0000-0000-000004000000}">
      <formula1>Liste_propu</formula1>
    </dataValidation>
    <dataValidation type="list" showInputMessage="1" showErrorMessage="1" sqref="M2" xr:uid="{00000000-0002-0000-0000-000005000000}">
      <formula1>Menu_Lang</formula1>
    </dataValidation>
    <dataValidation type="decimal" showInputMessage="1" showErrorMessage="1" errorTitle="Masse de la Fusée" error="Tapez uniquement la masse, sans l'unité." sqref="C12" xr:uid="{00000000-0002-0000-0000-000006000000}">
      <formula1>0</formula1>
      <formula2>50000</formula2>
    </dataValidation>
    <dataValidation type="decimal" operator="greaterThan" showInputMessage="1" showErrorMessage="1" error="Tapez uniquement la longueur, sans l'unité." sqref="C13 C14:D14 C23:D24" xr:uid="{00000000-0002-0000-0000-000007000000}">
      <formula1>0</formula1>
    </dataValidation>
    <dataValidation type="list" showInputMessage="1" showErrorMessage="1" sqref="D12:D13" xr:uid="{00000000-0002-0000-0000-000008000000}">
      <formula1>Menu_with_motor</formula1>
    </dataValidation>
    <dataValidation type="list" showInputMessage="1" showErrorMessage="1" sqref="C11:D11" xr:uid="{00000000-0002-0000-0000-000009000000}">
      <formula1>Menu_Type</formula1>
    </dataValidation>
    <dataValidation type="decimal" operator="greaterThan" allowBlank="1" showInputMessage="1" showErrorMessage="1" error="Tapez uniquement la longueur, sans l'unité." sqref="C19" xr:uid="{00000000-0002-0000-0000-00000A000000}">
      <formula1>0</formula1>
    </dataValidation>
    <dataValidation type="list" showInputMessage="1" showErrorMessage="1" sqref="C22:D22" xr:uid="{00000000-0002-0000-0000-00000B000000}">
      <formula1>Menu_Ogive</formula1>
    </dataValidation>
    <dataValidation type="list" showInputMessage="1" showErrorMessage="1" sqref="M4" xr:uid="{00000000-0002-0000-0000-00000C000000}">
      <formula1>Menu_Transitions</formula1>
    </dataValidation>
  </dataValidations>
  <hyperlinks>
    <hyperlink ref="M39" location="Trajecto!C25" display="Trajecto" xr:uid="{00000000-0004-0000-0000-000000000000}"/>
  </hyperlinks>
  <printOptions horizontalCentered="1" verticalCentered="1"/>
  <pageMargins left="7.874015748031496E-2" right="7.874015748031496E-2" top="7.874015748031496E-2" bottom="7.874015748031496E-2" header="0" footer="0"/>
  <pageSetup paperSize="9" orientation="landscape" horizontalDpi="200" verticalDpi="200" r:id="rId1"/>
  <headerFooter alignWithMargins="0"/>
  <ignoredErrors>
    <ignoredError sqref="C35:D35" unlockedFormula="1"/>
    <ignoredError sqref="E18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775" r:id="rId4" name="Spinner 935">
              <controlPr defaultSize="0" print="0" autoPict="0">
                <anchor moveWithCells="1" sizeWithCells="1">
                  <from>
                    <xdr:col>3</xdr:col>
                    <xdr:colOff>751114</xdr:colOff>
                    <xdr:row>22</xdr:row>
                    <xdr:rowOff>0</xdr:rowOff>
                  </from>
                  <to>
                    <xdr:col>3</xdr:col>
                    <xdr:colOff>898071</xdr:colOff>
                    <xdr:row>23</xdr:row>
                    <xdr:rowOff>0</xdr:rowOff>
                  </to>
                </anchor>
              </controlPr>
            </control>
          </mc:Choice>
        </mc:AlternateContent>
        <mc:AlternateContent xmlns:mc="http://schemas.openxmlformats.org/markup-compatibility/2006">
          <mc:Choice Requires="x14">
            <control shapeId="36781" r:id="rId5" name="Spinner 941">
              <controlPr defaultSize="0" print="0" autoPict="0">
                <anchor moveWithCells="1" sizeWithCells="1">
                  <from>
                    <xdr:col>2</xdr:col>
                    <xdr:colOff>751114</xdr:colOff>
                    <xdr:row>11</xdr:row>
                    <xdr:rowOff>0</xdr:rowOff>
                  </from>
                  <to>
                    <xdr:col>2</xdr:col>
                    <xdr:colOff>898071</xdr:colOff>
                    <xdr:row>12</xdr:row>
                    <xdr:rowOff>0</xdr:rowOff>
                  </to>
                </anchor>
              </controlPr>
            </control>
          </mc:Choice>
        </mc:AlternateContent>
        <mc:AlternateContent xmlns:mc="http://schemas.openxmlformats.org/markup-compatibility/2006">
          <mc:Choice Requires="x14">
            <control shapeId="36782" r:id="rId6" name="Spinner 942">
              <controlPr defaultSize="0" print="0" autoPict="0">
                <anchor moveWithCells="1" sizeWithCells="1">
                  <from>
                    <xdr:col>2</xdr:col>
                    <xdr:colOff>751114</xdr:colOff>
                    <xdr:row>12</xdr:row>
                    <xdr:rowOff>0</xdr:rowOff>
                  </from>
                  <to>
                    <xdr:col>2</xdr:col>
                    <xdr:colOff>898071</xdr:colOff>
                    <xdr:row>13</xdr:row>
                    <xdr:rowOff>0</xdr:rowOff>
                  </to>
                </anchor>
              </controlPr>
            </control>
          </mc:Choice>
        </mc:AlternateContent>
        <mc:AlternateContent xmlns:mc="http://schemas.openxmlformats.org/markup-compatibility/2006">
          <mc:Choice Requires="x14">
            <control shapeId="36783" r:id="rId7" name="Spinner 943">
              <controlPr defaultSize="0" print="0" autoPict="0">
                <anchor moveWithCells="1" sizeWithCells="1">
                  <from>
                    <xdr:col>3</xdr:col>
                    <xdr:colOff>751114</xdr:colOff>
                    <xdr:row>22</xdr:row>
                    <xdr:rowOff>157843</xdr:rowOff>
                  </from>
                  <to>
                    <xdr:col>3</xdr:col>
                    <xdr:colOff>898071</xdr:colOff>
                    <xdr:row>24</xdr:row>
                    <xdr:rowOff>0</xdr:rowOff>
                  </to>
                </anchor>
              </controlPr>
            </control>
          </mc:Choice>
        </mc:AlternateContent>
        <mc:AlternateContent xmlns:mc="http://schemas.openxmlformats.org/markup-compatibility/2006">
          <mc:Choice Requires="x14">
            <control shapeId="36789" r:id="rId8" name="Spinner 949">
              <controlPr defaultSize="0" print="0" autoPict="0">
                <anchor moveWithCells="1" sizeWithCells="1">
                  <from>
                    <xdr:col>2</xdr:col>
                    <xdr:colOff>756557</xdr:colOff>
                    <xdr:row>27</xdr:row>
                    <xdr:rowOff>0</xdr:rowOff>
                  </from>
                  <to>
                    <xdr:col>3</xdr:col>
                    <xdr:colOff>0</xdr:colOff>
                    <xdr:row>28</xdr:row>
                    <xdr:rowOff>5443</xdr:rowOff>
                  </to>
                </anchor>
              </controlPr>
            </control>
          </mc:Choice>
        </mc:AlternateContent>
        <mc:AlternateContent xmlns:mc="http://schemas.openxmlformats.org/markup-compatibility/2006">
          <mc:Choice Requires="x14">
            <control shapeId="36795" r:id="rId9" name="Spinner 955">
              <controlPr defaultSize="0" print="0" autoPict="0">
                <anchor moveWithCells="1" sizeWithCells="1">
                  <from>
                    <xdr:col>2</xdr:col>
                    <xdr:colOff>756557</xdr:colOff>
                    <xdr:row>28</xdr:row>
                    <xdr:rowOff>0</xdr:rowOff>
                  </from>
                  <to>
                    <xdr:col>3</xdr:col>
                    <xdr:colOff>0</xdr:colOff>
                    <xdr:row>29</xdr:row>
                    <xdr:rowOff>5443</xdr:rowOff>
                  </to>
                </anchor>
              </controlPr>
            </control>
          </mc:Choice>
        </mc:AlternateContent>
        <mc:AlternateContent xmlns:mc="http://schemas.openxmlformats.org/markup-compatibility/2006">
          <mc:Choice Requires="x14">
            <control shapeId="36796" r:id="rId10" name="Spinner 956">
              <controlPr defaultSize="0" print="0" autoPict="0">
                <anchor moveWithCells="1" sizeWithCells="1">
                  <from>
                    <xdr:col>2</xdr:col>
                    <xdr:colOff>756557</xdr:colOff>
                    <xdr:row>28</xdr:row>
                    <xdr:rowOff>163286</xdr:rowOff>
                  </from>
                  <to>
                    <xdr:col>3</xdr:col>
                    <xdr:colOff>0</xdr:colOff>
                    <xdr:row>30</xdr:row>
                    <xdr:rowOff>0</xdr:rowOff>
                  </to>
                </anchor>
              </controlPr>
            </control>
          </mc:Choice>
        </mc:AlternateContent>
        <mc:AlternateContent xmlns:mc="http://schemas.openxmlformats.org/markup-compatibility/2006">
          <mc:Choice Requires="x14">
            <control shapeId="36797" r:id="rId11" name="Spinner 957">
              <controlPr defaultSize="0" print="0" autoPict="0">
                <anchor moveWithCells="1" sizeWithCells="1">
                  <from>
                    <xdr:col>2</xdr:col>
                    <xdr:colOff>756557</xdr:colOff>
                    <xdr:row>30</xdr:row>
                    <xdr:rowOff>0</xdr:rowOff>
                  </from>
                  <to>
                    <xdr:col>3</xdr:col>
                    <xdr:colOff>0</xdr:colOff>
                    <xdr:row>30</xdr:row>
                    <xdr:rowOff>157843</xdr:rowOff>
                  </to>
                </anchor>
              </controlPr>
            </control>
          </mc:Choice>
        </mc:AlternateContent>
        <mc:AlternateContent xmlns:mc="http://schemas.openxmlformats.org/markup-compatibility/2006">
          <mc:Choice Requires="x14">
            <control shapeId="36798" r:id="rId12" name="Spinner 958">
              <controlPr defaultSize="0" print="0" autoPict="0">
                <anchor moveWithCells="1" sizeWithCells="1">
                  <from>
                    <xdr:col>2</xdr:col>
                    <xdr:colOff>756557</xdr:colOff>
                    <xdr:row>31</xdr:row>
                    <xdr:rowOff>0</xdr:rowOff>
                  </from>
                  <to>
                    <xdr:col>2</xdr:col>
                    <xdr:colOff>898071</xdr:colOff>
                    <xdr:row>32</xdr:row>
                    <xdr:rowOff>0</xdr:rowOff>
                  </to>
                </anchor>
              </controlPr>
            </control>
          </mc:Choice>
        </mc:AlternateContent>
        <mc:AlternateContent xmlns:mc="http://schemas.openxmlformats.org/markup-compatibility/2006">
          <mc:Choice Requires="x14">
            <control shapeId="36799" r:id="rId13" name="Spinner 959">
              <controlPr defaultSize="0" print="0" autoPict="0">
                <anchor moveWithCells="1" sizeWithCells="1">
                  <from>
                    <xdr:col>2</xdr:col>
                    <xdr:colOff>756557</xdr:colOff>
                    <xdr:row>32</xdr:row>
                    <xdr:rowOff>0</xdr:rowOff>
                  </from>
                  <to>
                    <xdr:col>3</xdr:col>
                    <xdr:colOff>0</xdr:colOff>
                    <xdr:row>33</xdr:row>
                    <xdr:rowOff>0</xdr:rowOff>
                  </to>
                </anchor>
              </controlPr>
            </control>
          </mc:Choice>
        </mc:AlternateContent>
        <mc:AlternateContent xmlns:mc="http://schemas.openxmlformats.org/markup-compatibility/2006">
          <mc:Choice Requires="x14">
            <control shapeId="36801" r:id="rId14" name="Spinner 961">
              <controlPr defaultSize="0" print="0" autoPict="0">
                <anchor moveWithCells="1" sizeWithCells="1">
                  <from>
                    <xdr:col>3</xdr:col>
                    <xdr:colOff>756557</xdr:colOff>
                    <xdr:row>12</xdr:row>
                    <xdr:rowOff>157843</xdr:rowOff>
                  </from>
                  <to>
                    <xdr:col>4</xdr:col>
                    <xdr:colOff>0</xdr:colOff>
                    <xdr:row>13</xdr:row>
                    <xdr:rowOff>157843</xdr:rowOff>
                  </to>
                </anchor>
              </controlPr>
            </control>
          </mc:Choice>
        </mc:AlternateContent>
        <mc:AlternateContent xmlns:mc="http://schemas.openxmlformats.org/markup-compatibility/2006">
          <mc:Choice Requires="x14">
            <control shapeId="5096691" r:id="rId15" name="Spinner 3315">
              <controlPr defaultSize="0" print="0" autoPict="0">
                <anchor moveWithCells="1" sizeWithCells="1">
                  <from>
                    <xdr:col>19</xdr:col>
                    <xdr:colOff>0</xdr:colOff>
                    <xdr:row>35</xdr:row>
                    <xdr:rowOff>10886</xdr:rowOff>
                  </from>
                  <to>
                    <xdr:col>19</xdr:col>
                    <xdr:colOff>0</xdr:colOff>
                    <xdr:row>36</xdr:row>
                    <xdr:rowOff>0</xdr:rowOff>
                  </to>
                </anchor>
              </controlPr>
            </control>
          </mc:Choice>
        </mc:AlternateContent>
        <mc:AlternateContent xmlns:mc="http://schemas.openxmlformats.org/markup-compatibility/2006">
          <mc:Choice Requires="x14">
            <control shapeId="5096692" r:id="rId16" name="Spinner 3316">
              <controlPr defaultSize="0" print="0" autoPict="0">
                <anchor moveWithCells="1" sizeWithCells="1">
                  <from>
                    <xdr:col>19</xdr:col>
                    <xdr:colOff>0</xdr:colOff>
                    <xdr:row>35</xdr:row>
                    <xdr:rowOff>10886</xdr:rowOff>
                  </from>
                  <to>
                    <xdr:col>19</xdr:col>
                    <xdr:colOff>0</xdr:colOff>
                    <xdr:row>36</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R201"/>
  <sheetViews>
    <sheetView showGridLines="0" zoomScaleNormal="100" workbookViewId="0">
      <selection activeCell="C8" sqref="C8:D8"/>
    </sheetView>
  </sheetViews>
  <sheetFormatPr baseColWidth="10" defaultColWidth="11.3828125" defaultRowHeight="12.45" x14ac:dyDescent="0.3"/>
  <cols>
    <col min="1" max="1" width="2.15234375" style="1" customWidth="1"/>
    <col min="2" max="2" width="16.15234375" style="1" customWidth="1"/>
    <col min="3" max="4" width="12.84375" style="1" customWidth="1"/>
    <col min="5" max="5" width="2.84375" style="1" customWidth="1"/>
    <col min="6" max="7" width="12.84375" style="1" customWidth="1"/>
    <col min="8" max="13" width="10.84375" style="1" customWidth="1"/>
    <col min="14" max="15" width="2.15234375" style="1" customWidth="1"/>
    <col min="16" max="17" width="14.15234375" style="1" customWidth="1"/>
    <col min="18" max="16384" width="11.3828125" style="1"/>
  </cols>
  <sheetData>
    <row r="1" spans="1:14" x14ac:dyDescent="0.3">
      <c r="A1" s="51"/>
      <c r="B1" s="52"/>
      <c r="C1" s="53"/>
      <c r="D1" s="52"/>
      <c r="E1" s="54"/>
      <c r="F1" s="54"/>
      <c r="G1" s="54"/>
      <c r="H1" s="54"/>
      <c r="I1" s="54"/>
      <c r="J1" s="54"/>
      <c r="K1" s="54"/>
      <c r="L1" s="54"/>
      <c r="M1" s="54"/>
      <c r="N1" s="55"/>
    </row>
    <row r="2" spans="1:14" ht="12.75" customHeight="1" x14ac:dyDescent="0.3">
      <c r="A2" s="56"/>
      <c r="B2" s="2"/>
      <c r="C2" s="632" t="s">
        <v>0</v>
      </c>
      <c r="D2" s="632"/>
      <c r="F2" s="3"/>
      <c r="J2" s="4"/>
      <c r="N2" s="57"/>
    </row>
    <row r="3" spans="1:14" ht="12.75" customHeight="1" x14ac:dyDescent="0.3">
      <c r="A3" s="56"/>
      <c r="B3" s="2"/>
      <c r="C3" s="632"/>
      <c r="D3" s="632"/>
      <c r="H3" s="5"/>
      <c r="J3" s="4"/>
      <c r="N3" s="57"/>
    </row>
    <row r="4" spans="1:14" ht="12.75" customHeight="1" x14ac:dyDescent="0.3">
      <c r="A4" s="56"/>
      <c r="B4" s="2"/>
      <c r="C4" s="636" t="str">
        <f>IF(Lang="Français","Trajectographie de fusée",IF(Lang="English","Rocket Trajectography",""))</f>
        <v>Trajectographie de fusée</v>
      </c>
      <c r="D4" s="636"/>
      <c r="H4" s="5"/>
      <c r="J4" s="4"/>
      <c r="N4" s="57"/>
    </row>
    <row r="5" spans="1:14" ht="12.75" customHeight="1" x14ac:dyDescent="0.3">
      <c r="A5" s="56"/>
      <c r="B5" s="2"/>
      <c r="C5" s="631"/>
      <c r="D5" s="631"/>
      <c r="J5" s="4"/>
      <c r="N5" s="57"/>
    </row>
    <row r="6" spans="1:14" ht="13" customHeight="1" x14ac:dyDescent="0.3">
      <c r="A6" s="56"/>
      <c r="B6" s="87"/>
      <c r="C6" s="635" t="str">
        <f>IF(Lang="Français","Remplir les cases jaunes",IF(Lang="English","Fill-in yellow cells only",""))</f>
        <v>Remplir les cases jaunes</v>
      </c>
      <c r="D6" s="635"/>
      <c r="J6" s="4"/>
      <c r="N6" s="57"/>
    </row>
    <row r="7" spans="1:14" x14ac:dyDescent="0.3">
      <c r="A7" s="56"/>
      <c r="B7" s="6"/>
      <c r="C7" s="612" t="str">
        <f>IF(Lang="Français","Fusée",IF(Lang="English","Rocket",""))</f>
        <v>Fusée</v>
      </c>
      <c r="D7" s="612"/>
      <c r="N7" s="58"/>
    </row>
    <row r="8" spans="1:14" ht="12.75" customHeight="1" x14ac:dyDescent="0.4">
      <c r="A8" s="56"/>
      <c r="B8" s="140" t="str">
        <f>IF(Lang="Français","Nom",IF(Lang="English","Name",""))</f>
        <v>Nom</v>
      </c>
      <c r="C8" s="633" t="str">
        <f>Nom</f>
        <v>Ma fusée</v>
      </c>
      <c r="D8" s="633"/>
      <c r="E8" s="5"/>
      <c r="F8" s="5"/>
      <c r="J8" s="4"/>
      <c r="N8" s="57"/>
    </row>
    <row r="9" spans="1:14" ht="12.75" customHeight="1" x14ac:dyDescent="0.4">
      <c r="A9" s="59"/>
      <c r="B9" s="140" t="s">
        <v>4</v>
      </c>
      <c r="C9" s="634" t="str">
        <f>Club</f>
        <v>Mon club</v>
      </c>
      <c r="D9" s="634"/>
      <c r="F9" s="5"/>
      <c r="N9" s="58"/>
    </row>
    <row r="10" spans="1:14" ht="12.75" customHeight="1" x14ac:dyDescent="0.4">
      <c r="A10" s="59"/>
      <c r="B10" s="141" t="s">
        <v>568</v>
      </c>
      <c r="C10" s="630" t="str">
        <f>Matricule</f>
        <v>MF0</v>
      </c>
      <c r="D10" s="630"/>
      <c r="F10" s="5"/>
      <c r="N10" s="58"/>
    </row>
    <row r="11" spans="1:14" ht="12.75" customHeight="1" x14ac:dyDescent="0.3">
      <c r="A11" s="59"/>
      <c r="B11" s="140" t="str">
        <f>IF(Lang="Français","Masse totale",IF(Lang="English","Total Mass",""))</f>
        <v>Masse totale</v>
      </c>
      <c r="C11" s="607">
        <f ca="1">MassePlein</f>
        <v>0.45799999999999996</v>
      </c>
      <c r="D11" s="607"/>
      <c r="F11" s="5"/>
      <c r="N11" s="58"/>
    </row>
    <row r="12" spans="1:14" ht="12.75" customHeight="1" x14ac:dyDescent="0.3">
      <c r="A12" s="59"/>
      <c r="B12" s="227" t="str">
        <f>IF(Lang="Français","Propulseur",IF(Lang="English","Motor",""))</f>
        <v>Propulseur</v>
      </c>
      <c r="C12" s="610" t="str">
        <f>Propu</f>
        <v>p29-1G 57F59</v>
      </c>
      <c r="D12" s="611"/>
      <c r="F12" s="5"/>
      <c r="N12" s="58"/>
    </row>
    <row r="13" spans="1:14" ht="12.75" customHeight="1" x14ac:dyDescent="0.3">
      <c r="A13" s="59"/>
      <c r="N13" s="58"/>
    </row>
    <row r="14" spans="1:14" ht="12.75" customHeight="1" x14ac:dyDescent="0.3">
      <c r="A14" s="59"/>
      <c r="B14"/>
      <c r="C14" s="612" t="str">
        <f>IF(Lang="Français","Traînée Aérdynamique",IF(Lang="English","Drag",""))</f>
        <v>Traînée Aérdynamique</v>
      </c>
      <c r="D14" s="612"/>
      <c r="N14" s="58"/>
    </row>
    <row r="15" spans="1:14" ht="12.75" customHeight="1" x14ac:dyDescent="0.3">
      <c r="A15" s="59"/>
      <c r="B15" s="140" t="s">
        <v>40</v>
      </c>
      <c r="C15" s="613">
        <f>(PI()*D_ref^2/4+E_ail*ep_ail*Q_ail)/10^6</f>
        <v>3.5259710067865177E-3</v>
      </c>
      <c r="D15" s="613"/>
      <c r="N15" s="58"/>
    </row>
    <row r="16" spans="1:14" ht="12.75" customHeight="1" x14ac:dyDescent="0.3">
      <c r="A16" s="59"/>
      <c r="B16" s="141" t="s">
        <v>5</v>
      </c>
      <c r="C16" s="605">
        <v>0.6</v>
      </c>
      <c r="D16" s="606"/>
      <c r="N16" s="58"/>
    </row>
    <row r="17" spans="1:18" ht="12.75" customHeight="1" x14ac:dyDescent="0.3">
      <c r="A17" s="59"/>
      <c r="N17" s="58"/>
    </row>
    <row r="18" spans="1:18" ht="12.75" customHeight="1" x14ac:dyDescent="0.3">
      <c r="A18" s="59"/>
      <c r="B18"/>
      <c r="C18" s="612" t="str">
        <f>IF(Lang="Français","Rampe de Lancement",IF(Lang="English","Launch Pad",""))</f>
        <v>Rampe de Lancement</v>
      </c>
      <c r="D18" s="612"/>
      <c r="N18" s="58"/>
    </row>
    <row r="19" spans="1:18" ht="12.75" customHeight="1" x14ac:dyDescent="0.3">
      <c r="A19" s="59"/>
      <c r="B19" s="140" t="str">
        <f>IF(Lang="Français","Longueur",IF(Lang="English","Length",""))</f>
        <v>Longueur</v>
      </c>
      <c r="C19" s="609">
        <f>IF(RIGHT(Type_fusee,1)=".",4, IF(LEFT(Type_fusee,4)="Mini",2.5, IF(LEFT(Type_fusee,5)="Micro",1, IF(RIGHT(Type_fusee,1)=" ",0.1,IF(LEFT(Type_fusee,1)="R",3, 2.5)))))</f>
        <v>2.5</v>
      </c>
      <c r="D19" s="609"/>
      <c r="N19" s="58"/>
    </row>
    <row r="20" spans="1:18" ht="12.75" customHeight="1" x14ac:dyDescent="0.3">
      <c r="A20" s="59"/>
      <c r="B20" s="140" t="str">
        <f>IF(Lang="Français","Élévation",IF(Lang="English","Angle /horizon",""))</f>
        <v>Élévation</v>
      </c>
      <c r="C20" s="608">
        <v>80</v>
      </c>
      <c r="D20" s="608"/>
      <c r="N20" s="58"/>
    </row>
    <row r="21" spans="1:18" ht="12.75" customHeight="1" x14ac:dyDescent="0.3">
      <c r="A21" s="59"/>
      <c r="B21" s="140" t="s">
        <v>6</v>
      </c>
      <c r="C21" s="609">
        <v>0</v>
      </c>
      <c r="D21" s="609"/>
      <c r="N21" s="58"/>
    </row>
    <row r="22" spans="1:18" x14ac:dyDescent="0.3">
      <c r="A22" s="59"/>
      <c r="F22" s="384" t="str">
        <f ca="1">IF( OR( AND(Vsortie_de_rampe&lt;18, RIGHT(Type_fusee,1)=";"), AND(Vsortie_de_rampe&lt;20, RIGHT(Type_fusee,1)=".")), IF(Lang="Français","Vitesse en Sortie de Rampe trop faible, alléger la fusée ou choisir un propu plus puissant.","Speed at Launch Pad Exit too low, lighten the rocket or choose a bigger motor."), "")</f>
        <v/>
      </c>
      <c r="N22" s="58"/>
    </row>
    <row r="23" spans="1:18" x14ac:dyDescent="0.3">
      <c r="A23" s="59"/>
      <c r="C23" s="614" t="str">
        <f>IF(Lang="Français","DescenteSousParachute",IF(Lang="English","Over Parachute",""))</f>
        <v>DescenteSousParachute</v>
      </c>
      <c r="D23" s="615"/>
      <c r="F23" s="4"/>
      <c r="G23" s="50">
        <f ca="1">TODAY()</f>
        <v>45325</v>
      </c>
      <c r="H23" s="489" t="str">
        <f>IF(Lang="Français","Temps",IF(Lang="English","Time",""))</f>
        <v>Temps</v>
      </c>
      <c r="I23" s="489" t="s">
        <v>12</v>
      </c>
      <c r="J23" s="489" t="str">
        <f>IF(Lang="Français","Portée x",IF(Lang="English","Range x",""))</f>
        <v>Portée x</v>
      </c>
      <c r="K23" s="489" t="str">
        <f>IF(Lang="Français","Vitesse",IF(Lang="English","Velocity",""))</f>
        <v>Vitesse</v>
      </c>
      <c r="L23" s="490" t="s">
        <v>13</v>
      </c>
      <c r="M23" s="499" t="s">
        <v>423</v>
      </c>
      <c r="N23" s="58"/>
    </row>
    <row r="24" spans="1:18" x14ac:dyDescent="0.3">
      <c r="A24" s="59"/>
      <c r="B24"/>
      <c r="C24" s="142" t="str">
        <f>C7</f>
        <v>Fusée</v>
      </c>
      <c r="D24" s="220" t="s">
        <v>120</v>
      </c>
      <c r="E24" s="18" t="str">
        <f>IF(ABS(T_satellite-0.11-T_para)&lt;0.1,"Pb!","")</f>
        <v/>
      </c>
      <c r="F24" s="616" t="str">
        <f>IF(Lang="Français","Sortie de Rampe",IF(Lang="English","Launch-Pad Exit",""))</f>
        <v>Sortie de Rampe</v>
      </c>
      <c r="G24" s="617"/>
      <c r="H24" s="491"/>
      <c r="I24" s="491"/>
      <c r="J24" s="491"/>
      <c r="K24" s="492">
        <f ca="1">INDEX(vit_xz,MATCH("Sortie de rampe",Event,0))</f>
        <v>24.491506493007957</v>
      </c>
      <c r="L24" s="493"/>
      <c r="M24" s="500"/>
      <c r="N24" s="58"/>
    </row>
    <row r="25" spans="1:18" x14ac:dyDescent="0.3">
      <c r="A25" s="59"/>
      <c r="B25" s="466" t="str">
        <f>IF(Lang="Français","Masse",IF(Lang="English","Mass",""))</f>
        <v>Masse</v>
      </c>
      <c r="C25" s="467">
        <f ca="1">IF(Nb_sat="0 satellite",MasseVide,MasseVide-m_satellite)</f>
        <v>0.42699999999999999</v>
      </c>
      <c r="D25" s="480">
        <f>IF(RIGHT(Type_fusee,1)=".",1,0.15)</f>
        <v>0.15</v>
      </c>
      <c r="F25" s="619" t="str">
        <f>IF(Lang="Français","Vit max &amp; Acc max",IF(Lang="English","Max Velocity &amp; Acc",""))</f>
        <v>Vit max &amp; Acc max</v>
      </c>
      <c r="G25" s="599"/>
      <c r="H25" s="115"/>
      <c r="I25" s="115"/>
      <c r="J25" s="115"/>
      <c r="K25" s="158">
        <f ca="1">MAX(vit_xz)</f>
        <v>107.5769976433798</v>
      </c>
      <c r="L25" s="494">
        <f ca="1">MAX(acc_xz)</f>
        <v>141.30351488622108</v>
      </c>
      <c r="M25" s="500"/>
      <c r="N25" s="58"/>
    </row>
    <row r="26" spans="1:18" x14ac:dyDescent="0.3">
      <c r="A26" s="59"/>
      <c r="B26" s="469" t="str">
        <f>IF(Lang="Français","Dépotage",IF(Lang="English","Delay",""))</f>
        <v>Dépotage</v>
      </c>
      <c r="C26" s="505" t="s">
        <v>409</v>
      </c>
      <c r="D26" s="535"/>
      <c r="F26" s="620" t="str">
        <f>IF(Lang="Français","Largage du satellite",IF(Lang="English","Satellite separation",""))</f>
        <v>Largage du satellite</v>
      </c>
      <c r="G26" s="601"/>
      <c r="H26" s="152">
        <f>IF(T_satellite&lt;&gt;0,T_satellite,"")</f>
        <v>3.5</v>
      </c>
      <c r="I26" s="156">
        <f ca="1">IF(T_satellite&lt;&gt;0,INDEX(pos_z,MATCH("Satellite",Event_sat,0)),"")</f>
        <v>227.73525278401203</v>
      </c>
      <c r="J26" s="154">
        <f ca="1">IF(T_satellite&lt;&gt;0,INDEX(pos_x,MATCH("Satellite",Event_sat,0)),"")</f>
        <v>50.10432835802861</v>
      </c>
      <c r="K26" s="159">
        <f ca="1">IF(T_satellite&lt;&gt;0,INDEX(vit_xz,MATCH("Satellite",Event_sat,0)),"")</f>
        <v>42.974966246289867</v>
      </c>
      <c r="L26" s="495"/>
      <c r="M26" s="485">
        <f ca="1">1/2*Rho_moyen*1*V_ouv_sat^2*S_satellite</f>
        <v>22.623884617404478</v>
      </c>
      <c r="N26" s="58"/>
    </row>
    <row r="27" spans="1:18" x14ac:dyDescent="0.3">
      <c r="A27" s="59"/>
      <c r="B27" s="468" t="str">
        <f>IF(Lang="Français","Ouverture para",IF(Lang="English","Opening time",""))</f>
        <v>Ouverture para</v>
      </c>
      <c r="C27" s="507">
        <v>8</v>
      </c>
      <c r="D27" s="507">
        <v>3.5</v>
      </c>
      <c r="F27" s="619" t="s">
        <v>15</v>
      </c>
      <c r="G27" s="599"/>
      <c r="H27" s="153">
        <f ca="1">INDEX(t,MATCH("Apogée",Event,0))</f>
        <v>6.999999999999992</v>
      </c>
      <c r="I27" s="157">
        <f ca="1">INDEX(pos_z,MATCH("Apogée",Event,0))</f>
        <v>296.10396047690489</v>
      </c>
      <c r="J27" s="155">
        <f ca="1">INDEX(pos_x,MATCH("Apogée",Event,0))</f>
        <v>86.828118452377439</v>
      </c>
      <c r="K27" s="160">
        <f ca="1">INDEX(vit_xz,MATCH("Apogée",Event,0))</f>
        <v>9.588714365088471</v>
      </c>
      <c r="L27" s="496"/>
      <c r="M27" s="500"/>
      <c r="N27" s="58"/>
    </row>
    <row r="28" spans="1:18" x14ac:dyDescent="0.3">
      <c r="A28" s="59"/>
      <c r="B28" s="534" t="s">
        <v>563</v>
      </c>
      <c r="C28" s="507" t="s">
        <v>565</v>
      </c>
      <c r="D28" s="507"/>
      <c r="F28" s="618" t="str">
        <f>IF(Lang="Français","Ouverture parachute fusée",IF(Lang="English","Rocket parachute opening",""))</f>
        <v>Ouverture parachute fusée</v>
      </c>
      <c r="G28" s="604"/>
      <c r="H28" s="152">
        <f>T_para</f>
        <v>8</v>
      </c>
      <c r="I28" s="156">
        <f ca="1">INDEX(pos_z,MATCH("Para",Event_para,0))</f>
        <v>292.02863415437969</v>
      </c>
      <c r="J28" s="486">
        <f ca="1">INDEX(pos_x,MATCH("Para",Event_para,0))</f>
        <v>96.244846724568077</v>
      </c>
      <c r="K28" s="159">
        <f ca="1">INDEX(vit_xz,MATCH("Para",Event_para,0))</f>
        <v>12.843388235247078</v>
      </c>
      <c r="L28" s="495"/>
      <c r="M28" s="485">
        <f ca="1">1/2*Rho_moyen*1*V_ouverture^2*S_para</f>
        <v>26.289416815304005</v>
      </c>
      <c r="N28" s="58"/>
      <c r="P28" s="384" t="str">
        <f ca="1">IF(V_para&lt;5, IF(Lang="Français","Parachute fusée trop grand !","Parachute too big!"), IF( V_para&gt;15, IF(Lang="Français","Parachute fusée trop petit !","Parachute too small!"), ""))</f>
        <v/>
      </c>
      <c r="R28" s="384" t="str">
        <f>IF(AND(Nb_sat="1 satellite", OR(V_satellite&lt;5)), IF(Lang="Français","Parachute satéllite trop grand !","Parachute too big"), IF(AND(Nb_sat="1 satellite",OR(V_satellite&gt;15)), IF(Lang="Français","Parachute satéllite trop petit !","Parachute too small!"), ""))</f>
        <v/>
      </c>
    </row>
    <row r="29" spans="1:18" x14ac:dyDescent="0.3">
      <c r="A29" s="59"/>
      <c r="B29" s="141" t="s">
        <v>9</v>
      </c>
      <c r="C29" s="225">
        <f>IF(C28="rond",S_para_rond,IF(C28="Croix",S_para_croix,0.5))</f>
        <v>0.26020500000000002</v>
      </c>
      <c r="D29" s="17">
        <f>IF(RIGHT(Type_fusee,1)=".",0.1,0.02)</f>
        <v>0.02</v>
      </c>
      <c r="F29" s="623" t="str">
        <f>IF(Lang="Français","Impact balistique",IF(Lang="English","Balistic Impact",""))</f>
        <v>Impact balistique</v>
      </c>
      <c r="G29" s="624"/>
      <c r="H29" s="497">
        <f ca="1">INDEX(t,MATCH("Impact balistique",Event,0))</f>
        <v>16.099999999999962</v>
      </c>
      <c r="I29" s="517" t="s">
        <v>430</v>
      </c>
      <c r="J29" s="487">
        <f ca="1">INDEX(pos_x,MATCH("Impact balistique",Event,0))</f>
        <v>150.09587023194715</v>
      </c>
      <c r="K29" s="501">
        <f ca="1">K47</f>
        <v>52.283975145005293</v>
      </c>
      <c r="L29" s="498"/>
      <c r="M29" s="502">
        <f ca="1">0.5*m_vide*K29^2</f>
        <v>583.62660116171389</v>
      </c>
      <c r="N29" s="58"/>
      <c r="P29" s="384" t="str">
        <f ca="1">IF( OR( V_para&lt;5, V_para&gt;15, AND(Nb_sat="1 satellite", OR(V_satellite&lt;5, V_satellite&gt;15))), IF(Lang="Français","La Vitesse de descente sous parachute doit être comprise entre 5 &amp; 15 m/s.","Fall Velocity with parachute must be between 5 &amp; 15 m/s."), "")</f>
        <v/>
      </c>
    </row>
    <row r="30" spans="1:18" x14ac:dyDescent="0.3">
      <c r="A30" s="59"/>
      <c r="B30" s="141" t="s">
        <v>10</v>
      </c>
      <c r="C30" s="143">
        <v>1</v>
      </c>
      <c r="D30" s="143">
        <v>1</v>
      </c>
      <c r="E30" s="18" t="str">
        <f>IF(AND(T_satellite=0,m_satellite&lt;&gt;0),"Erreur !","")</f>
        <v/>
      </c>
      <c r="G30" s="483"/>
      <c r="H30" s="484"/>
      <c r="I30" s="488"/>
      <c r="N30" s="58"/>
      <c r="P30" s="384" t="str">
        <f ca="1">IF(AND(Portee_balistique&gt;200,LEFT(Type_propu,4)="Mini"),IF(Lang="Français","Fusée trop lègère !","Rocket too light"),"")</f>
        <v/>
      </c>
    </row>
    <row r="31" spans="1:18" x14ac:dyDescent="0.3">
      <c r="A31" s="59"/>
      <c r="B31" s="141" t="str">
        <f>IF(Lang="Français","Vitesse du vent",IF(Lang="English","Wind speed",""))</f>
        <v>Vitesse du vent</v>
      </c>
      <c r="C31" s="144">
        <v>5</v>
      </c>
      <c r="D31" s="144">
        <f>V_vent</f>
        <v>5</v>
      </c>
      <c r="G31" s="483"/>
      <c r="H31" s="484"/>
      <c r="I31" s="488"/>
      <c r="N31" s="58"/>
      <c r="P31" s="384" t="str">
        <f ca="1">IF(OR(AND(Vsortie_de_rampe&lt;20,LEFT(Type_fusee,1)="F"),AND(Vsortie_de_rampe&lt;18, OR(LEFT(Type_fusee,1)=",",LEFT(Type_fusee,4)="Mini",LEFT(Type_fusee,1)="R"))),IF(Lang="Français","Fusée trop lourde ou rampe trop courte !","Rocket too heavy or launch pad too small!"),"")</f>
        <v/>
      </c>
    </row>
    <row r="32" spans="1:18" x14ac:dyDescent="0.3">
      <c r="A32" s="59"/>
      <c r="B32" s="133" t="str">
        <f>IF(Lang="Français","Vitesse descente",IF(Lang="English","Fall velocity",""))</f>
        <v>Vitesse descente</v>
      </c>
      <c r="C32" s="424">
        <f ca="1">SQRT(2*m_vide*g/Rho_moyen/S_para/Cx_para)</f>
        <v>5.1266961211658746</v>
      </c>
      <c r="D32" s="424">
        <f>SQRT(2*m_satellite*g/Rho_moyen/S_satellite/Cx_satellite)</f>
        <v>10.960038730752361</v>
      </c>
      <c r="F32" s="384"/>
      <c r="K32" s="388"/>
      <c r="N32" s="395"/>
      <c r="P32" s="384" t="str">
        <f ca="1">IF(Temps_culmi-T_para&gt;2,IF(Lang="Français","Ouverture parachute fusée précoce.","Early rocket parachute opening."),IF(Temps_culmi-T_para&lt;-2,IF(Lang="Français","Ouverture parachute fusée tardive.","Late rocket parachute opening."),""))</f>
        <v/>
      </c>
    </row>
    <row r="33" spans="1:16" x14ac:dyDescent="0.3">
      <c r="A33" s="59"/>
      <c r="B33" s="133" t="str">
        <f>IF(Lang="Français","Durée descente",IF(Lang="English","Fall duration",""))</f>
        <v>Durée descente</v>
      </c>
      <c r="C33" s="132">
        <f ca="1">Alt_para/V_para</f>
        <v>56.962345193178471</v>
      </c>
      <c r="D33" s="132">
        <f ca="1">IF(V_satellite&lt;&gt;0,Alt_sat/V_satellite,0)</f>
        <v>20.778690511833524</v>
      </c>
      <c r="H33" s="625" t="str">
        <f>IF(Lang="Français","Pour localiser la fusée","To locate the rocket")</f>
        <v>Pour localiser la fusée</v>
      </c>
      <c r="I33" s="625"/>
      <c r="J33" s="482"/>
      <c r="N33" s="395"/>
      <c r="P33" s="384" t="str">
        <f ca="1">IF(ABS(Temps_culmi-T_para)&gt;2,IF(Lang="Français","Attention, aux efforts sur le parachute lors de l'ouverture !","Becarefull to the opening chute efforts!"),"")</f>
        <v/>
      </c>
    </row>
    <row r="34" spans="1:16" customFormat="1" x14ac:dyDescent="0.3">
      <c r="A34" s="59"/>
      <c r="B34" s="133" t="str">
        <f>IF(Lang="Français","Durée du vol",IF(Lang="English","Fligth duration",""))</f>
        <v>Durée du vol</v>
      </c>
      <c r="C34" s="132">
        <f ca="1">T_para+Dt_para</f>
        <v>64.962345193178464</v>
      </c>
      <c r="D34" s="132">
        <f ca="1">T_satellite+Dt_satellite</f>
        <v>24.278690511833524</v>
      </c>
      <c r="F34" s="625" t="str">
        <f>IF(Lang="Français","Couleur fuselage/coiffe","Body/Nose color")</f>
        <v>Couleur fuselage/coiffe</v>
      </c>
      <c r="G34" s="625"/>
      <c r="H34" s="621" t="s">
        <v>268</v>
      </c>
      <c r="I34" s="622"/>
      <c r="J34" s="1"/>
      <c r="K34" s="1"/>
      <c r="L34" s="1"/>
      <c r="M34" s="1"/>
      <c r="N34" s="394"/>
    </row>
    <row r="35" spans="1:16" x14ac:dyDescent="0.3">
      <c r="A35" s="74"/>
      <c r="B35" s="133" t="str">
        <f>IF(Lang="Français","Déport latéral",IF(Lang="English","Lateral shift",""))</f>
        <v>Déport latéral</v>
      </c>
      <c r="C35" s="151">
        <f ca="1">Alt_para*V_vent/V_para</f>
        <v>284.81172596589238</v>
      </c>
      <c r="D35" s="151">
        <f ca="1">IF(V_satellite&lt;&gt;0,Alt_sat*V_vent_sat/V_satellite,0)</f>
        <v>103.89345255916763</v>
      </c>
      <c r="F35" s="625" t="str">
        <f>IF(Lang="Français","Couleur parachute fusée","Rocket parachute color")</f>
        <v>Couleur parachute fusée</v>
      </c>
      <c r="G35" s="625"/>
      <c r="H35" s="621" t="s">
        <v>269</v>
      </c>
      <c r="I35" s="622"/>
      <c r="J35"/>
      <c r="K35"/>
      <c r="L35"/>
      <c r="M35"/>
      <c r="N35" s="394" t="str">
        <f>IF(Lang="Français","fichier initial","Initial file")</f>
        <v>fichier initial</v>
      </c>
      <c r="P35"/>
    </row>
    <row r="36" spans="1:16" x14ac:dyDescent="0.3">
      <c r="A36" s="59"/>
      <c r="F36" s="625" t="str">
        <f>IF(Lang="Français","Couleur parachute satellite","Satellite parachute color")</f>
        <v>Couleur parachute satellite</v>
      </c>
      <c r="G36" s="625"/>
      <c r="H36" s="629" t="s">
        <v>158</v>
      </c>
      <c r="I36" s="629"/>
      <c r="N36" s="393" t="str">
        <f>IF(ROUND(SUM(Propu!5:1228),0)=437735,"propu OK","propu NOK")</f>
        <v>propu OK</v>
      </c>
      <c r="P36"/>
    </row>
    <row r="37" spans="1:16" ht="12.9" thickBot="1" x14ac:dyDescent="0.35">
      <c r="A37" s="60"/>
      <c r="B37" s="181" t="str">
        <f>IF(Lang="Français","Commentaire libre :",IF(Lang="English","Free comment:",""))</f>
        <v>Commentaire libre :</v>
      </c>
      <c r="C37" s="61"/>
      <c r="D37" s="61"/>
      <c r="E37" s="61"/>
      <c r="F37" s="61"/>
      <c r="G37" s="61"/>
      <c r="H37" s="61"/>
      <c r="I37" s="61"/>
      <c r="J37" s="61"/>
      <c r="K37" s="61"/>
      <c r="L37" s="61"/>
      <c r="M37" s="61"/>
      <c r="N37" s="290" t="s">
        <v>572</v>
      </c>
    </row>
    <row r="40" spans="1:16" x14ac:dyDescent="0.3">
      <c r="A40" s="626" t="str">
        <f>IF(Lang="Français","Calcul de la surface d'un parachute","Parachute surface calculation")</f>
        <v>Calcul de la surface d'un parachute</v>
      </c>
      <c r="B40" s="627"/>
      <c r="C40" s="627"/>
      <c r="D40" s="628"/>
      <c r="F40" s="626" t="str">
        <f>IF(Lang="Français","Résultats détaillés","Detailled results")</f>
        <v>Résultats détaillés</v>
      </c>
      <c r="G40" s="628"/>
      <c r="H40" s="170" t="str">
        <f>IF(Lang="Français","Temps",IF(Lang="English","Time",""))</f>
        <v>Temps</v>
      </c>
      <c r="I40" s="134" t="s">
        <v>12</v>
      </c>
      <c r="J40" s="134" t="str">
        <f>IF(Lang="Français","Portée x",IF(Lang="English","Range x",""))</f>
        <v>Portée x</v>
      </c>
      <c r="K40" s="134" t="str">
        <f>IF(Lang="Français","Vitesse",IF(Lang="English","Velocity",""))</f>
        <v>Vitesse</v>
      </c>
      <c r="L40" s="135" t="s">
        <v>13</v>
      </c>
      <c r="M40" s="134" t="s">
        <v>41</v>
      </c>
    </row>
    <row r="41" spans="1:16" x14ac:dyDescent="0.3">
      <c r="A41" s="161"/>
      <c r="D41" s="162"/>
      <c r="F41" s="172"/>
      <c r="G41" s="173"/>
      <c r="H41" s="171" t="s">
        <v>153</v>
      </c>
      <c r="I41" s="136" t="s">
        <v>38</v>
      </c>
      <c r="J41" s="136" t="s">
        <v>38</v>
      </c>
      <c r="K41" s="136" t="s">
        <v>154</v>
      </c>
      <c r="L41" s="136" t="s">
        <v>7</v>
      </c>
      <c r="M41" s="136" t="s">
        <v>155</v>
      </c>
    </row>
    <row r="42" spans="1:16" x14ac:dyDescent="0.3">
      <c r="A42" s="161"/>
      <c r="D42" s="162"/>
      <c r="F42" s="598" t="str">
        <f>IF(Lang="Français","Décollage",IF(Lang="English","Lift-Off",""))</f>
        <v>Décollage</v>
      </c>
      <c r="G42" s="598"/>
      <c r="H42" s="150">
        <v>0</v>
      </c>
      <c r="I42" s="150">
        <v>0</v>
      </c>
      <c r="J42" s="150">
        <v>0</v>
      </c>
      <c r="K42" s="150">
        <v>0</v>
      </c>
      <c r="L42" s="148" t="s">
        <v>14</v>
      </c>
      <c r="M42" s="149">
        <f>Beta_rampe</f>
        <v>80</v>
      </c>
    </row>
    <row r="43" spans="1:16" x14ac:dyDescent="0.3">
      <c r="A43" s="161"/>
      <c r="B43" s="166" t="str">
        <f>IF(Lang="Français","Bord   'a'","Side length 'a'")</f>
        <v>Bord   'a'</v>
      </c>
      <c r="D43" s="162"/>
      <c r="F43" s="599" t="str">
        <f>IF(Lang="Français","Sortie de Rampe",IF(Lang="English","Launch-Pad Exit",""))</f>
        <v>Sortie de Rampe</v>
      </c>
      <c r="G43" s="599"/>
      <c r="H43" s="115">
        <f ca="1">INDEX(t,MATCH("Sortie de rampe",Event,0))</f>
        <v>0.20000000000000004</v>
      </c>
      <c r="I43" s="115">
        <f ca="1">INDEX(pos_z,MATCH("Sortie de rampe",Event,0))</f>
        <v>2.2389849910370576</v>
      </c>
      <c r="J43" s="115">
        <f ca="1">INDEX(pos_x,MATCH("Sortie de rampe",Event,0))</f>
        <v>0.39477029331368158</v>
      </c>
      <c r="K43" s="116">
        <f ca="1">INDEX(vit_xz,MATCH("Sortie de rampe",Event,0))</f>
        <v>24.491506493007957</v>
      </c>
      <c r="L43" s="116">
        <f ca="1">INDEX(acc_xz,MATCH("Sortie de rampe",Event,0))</f>
        <v>136.76717855411147</v>
      </c>
      <c r="M43" s="116">
        <f ca="1">INDEX(BetaD,MATCH("Sortie de rampe",Event,0))</f>
        <v>80</v>
      </c>
    </row>
    <row r="44" spans="1:16" x14ac:dyDescent="0.3">
      <c r="A44" s="161"/>
      <c r="B44" s="167">
        <v>249</v>
      </c>
      <c r="D44" s="162"/>
      <c r="F44" s="599" t="str">
        <f>IF(Lang="Français","Vit max &amp; Acc max",IF(Lang="English","Max Velocity &amp; Acc",""))</f>
        <v>Vit max &amp; Acc max</v>
      </c>
      <c r="G44" s="599"/>
      <c r="H44" s="115" t="s">
        <v>14</v>
      </c>
      <c r="I44" s="115" t="s">
        <v>14</v>
      </c>
      <c r="J44" s="115" t="s">
        <v>14</v>
      </c>
      <c r="K44" s="117">
        <f ca="1">MAX(vit_xz)</f>
        <v>107.5769976433798</v>
      </c>
      <c r="L44" s="118">
        <f ca="1">MAX(acc_xz)</f>
        <v>141.30351488622108</v>
      </c>
      <c r="M44" s="116" t="s">
        <v>14</v>
      </c>
    </row>
    <row r="45" spans="1:16" x14ac:dyDescent="0.3">
      <c r="A45" s="161"/>
      <c r="B45" s="166" t="str">
        <f>IF(Lang="Français","Coté   'b'","Side width 'b'")</f>
        <v>Coté   'b'</v>
      </c>
      <c r="D45" s="162"/>
      <c r="F45" s="599" t="str">
        <f>IF(Lang="Français","Fin de Propulsion",IF(Lang="English","Motor Burn-Out",""))</f>
        <v>Fin de Propulsion</v>
      </c>
      <c r="G45" s="599"/>
      <c r="H45" s="116">
        <f ca="1">INDEX(t,MATCH("Fin de propulsion",Event,0))</f>
        <v>0.98000000000000065</v>
      </c>
      <c r="I45" s="119">
        <f ca="1">INDEX(pos_z,MATCH("Fin de propulsion",Event,0))</f>
        <v>58.483259228341652</v>
      </c>
      <c r="J45" s="119">
        <f ca="1">INDEX(pos_x,MATCH("Fin de propulsion",Event,0))</f>
        <v>11.19039715630325</v>
      </c>
      <c r="K45" s="119">
        <f ca="1">INDEX(vit_xz,MATCH("Fin de propulsion",Event,0))</f>
        <v>105.86372402239913</v>
      </c>
      <c r="L45" s="116">
        <f ca="1">INDEX(acc_xz,MATCH("Fin de propulsion",Event,0))</f>
        <v>43.758562854507993</v>
      </c>
      <c r="M45" s="116">
        <f ca="1">INDEX(BetaD,MATCH("Fin de propulsion",Event,0))</f>
        <v>78.757100475398659</v>
      </c>
    </row>
    <row r="46" spans="1:16" x14ac:dyDescent="0.3">
      <c r="A46" s="161"/>
      <c r="B46" s="168">
        <v>199</v>
      </c>
      <c r="D46" s="162"/>
      <c r="F46" s="599" t="s">
        <v>15</v>
      </c>
      <c r="G46" s="599"/>
      <c r="H46" s="118">
        <f ca="1">INDEX(t,MATCH("Apogée",Event,0))</f>
        <v>6.999999999999992</v>
      </c>
      <c r="I46" s="117">
        <f ca="1">INDEX(pos_z,MATCH("Apogée",Event,0))</f>
        <v>296.10396047690489</v>
      </c>
      <c r="J46" s="120">
        <f ca="1">INDEX(pos_x,MATCH("Apogée",Event,0))</f>
        <v>86.828118452377439</v>
      </c>
      <c r="K46" s="120">
        <f ca="1">INDEX(vit_xz,MATCH("Apogée",Event,0))</f>
        <v>9.588714365088471</v>
      </c>
      <c r="L46" s="116">
        <f ca="1">INDEX(acc_xz,MATCH("Apogée",Event,0))</f>
        <v>9.8650991310441807</v>
      </c>
      <c r="M46" s="121">
        <f ca="1">INDEX(BetaD,MATCH("Apogée",Event,0))</f>
        <v>4.7786395000030248</v>
      </c>
    </row>
    <row r="47" spans="1:16" x14ac:dyDescent="0.3">
      <c r="A47" s="161"/>
      <c r="B47" s="169" t="s">
        <v>9</v>
      </c>
      <c r="D47" s="162"/>
      <c r="F47" s="602" t="str">
        <f>IF(Lang="Français","Impact balistique",IF(Lang="English","Balistic Impact",""))</f>
        <v>Impact balistique</v>
      </c>
      <c r="G47" s="602"/>
      <c r="H47" s="116">
        <f ca="1">INDEX(t,MATCH("Impact balistique",Event,0))</f>
        <v>16.099999999999962</v>
      </c>
      <c r="I47" s="148" t="s">
        <v>16</v>
      </c>
      <c r="J47" s="117">
        <f ca="1">INDEX(pos_x,MATCH("Impact balistique",Event,0))</f>
        <v>150.09587023194715</v>
      </c>
      <c r="K47" s="119">
        <f ca="1">INDEX(vit_xz,MATCH("Impact balistique",Event,0))</f>
        <v>52.283975145005293</v>
      </c>
      <c r="L47" s="116">
        <f ca="1">INDEX(acc_xz,MATCH("Impact balistique",Event,0))</f>
        <v>1.6980862254356135</v>
      </c>
      <c r="M47" s="116">
        <f ca="1">INDEX(BetaD,MATCH("Impact balistique",Event,0))</f>
        <v>-85.882216122082895</v>
      </c>
    </row>
    <row r="48" spans="1:16" x14ac:dyDescent="0.3">
      <c r="A48" s="161"/>
      <c r="B48" s="174">
        <f>(4*B44*B46+B44^2)/10^6</f>
        <v>0.26020500000000002</v>
      </c>
      <c r="D48" s="162"/>
      <c r="F48" s="604" t="str">
        <f>IF(Lang="Français","Ouverture parachute fusée",IF(Lang="English","Rocket parachute opening",""))</f>
        <v>Ouverture parachute fusée</v>
      </c>
      <c r="G48" s="604"/>
      <c r="H48" s="122">
        <f>T_para</f>
        <v>8</v>
      </c>
      <c r="I48" s="123">
        <f ca="1">INDEX(pos_z,MATCH("Para",Event_para,0))</f>
        <v>292.02863415437969</v>
      </c>
      <c r="J48" s="123">
        <f ca="1">INDEX(pos_x,MATCH("Para",Event_para,0))</f>
        <v>96.244846724568077</v>
      </c>
      <c r="K48" s="123">
        <f ca="1">INDEX(vit_xz,MATCH("Para",Event_para,0))</f>
        <v>12.843388235247078</v>
      </c>
      <c r="L48" s="122">
        <f ca="1">INDEX(acc_xz,MATCH("Para",Event_para,0))</f>
        <v>9.5296984093197921</v>
      </c>
      <c r="M48" s="124">
        <f ca="1">INDEX(BetaD,MATCH("Para",Event_para,0))</f>
        <v>-43.826473233407057</v>
      </c>
    </row>
    <row r="49" spans="1:13" x14ac:dyDescent="0.3">
      <c r="A49" s="161"/>
      <c r="D49" s="162"/>
      <c r="F49" s="603" t="str">
        <f>IF(Lang="Français","Impact fusée sous para.",IF(Lang="English","Impact of rocket with para. ",""))</f>
        <v>Impact fusée sous para.</v>
      </c>
      <c r="G49" s="603"/>
      <c r="H49" s="125">
        <f ca="1">T_para+Dt_para</f>
        <v>64.962345193178464</v>
      </c>
      <c r="I49" s="127" t="s">
        <v>16</v>
      </c>
      <c r="J49" s="126" t="str">
        <f ca="1">CONCATENATE(TEXT(X_para-Dx_para,"0")," | ",TEXT(X_para+Dx_para,"0"))</f>
        <v>-189 | 381</v>
      </c>
      <c r="K49" s="126">
        <f ca="1">V_para</f>
        <v>5.1266961211658746</v>
      </c>
      <c r="L49" s="128">
        <f>g</f>
        <v>9.81</v>
      </c>
      <c r="M49" s="128" t="s">
        <v>14</v>
      </c>
    </row>
    <row r="50" spans="1:13" x14ac:dyDescent="0.3">
      <c r="A50" s="161"/>
      <c r="D50" s="162"/>
      <c r="F50" s="600" t="str">
        <f>IF(Lang="Français","Largage du satellite",IF(Lang="English","Satellite separation",""))</f>
        <v>Largage du satellite</v>
      </c>
      <c r="G50" s="601"/>
      <c r="H50" s="122">
        <f>IF(T_satellite&lt;&gt;0,T_satellite,"")</f>
        <v>3.5</v>
      </c>
      <c r="I50" s="123">
        <f ca="1">IF(T_satellite&lt;&gt;0,INDEX(pos_z,MATCH("Satellite",Event_sat,0)),"")</f>
        <v>227.73525278401203</v>
      </c>
      <c r="J50" s="129">
        <f ca="1">IF(T_satellite&lt;&gt;0,INDEX(pos_x,MATCH("Satellite",Event_sat,0)),"")</f>
        <v>50.10432835802861</v>
      </c>
      <c r="K50" s="123">
        <f ca="1">IF(T_satellite&lt;&gt;0,INDEX(vit_xz,MATCH("Satellite",Event_sat,0)),"")</f>
        <v>42.974966246289867</v>
      </c>
      <c r="L50" s="122">
        <f ca="1">IF(T_satellite&lt;&gt;0,INDEX(acc_xz,MATCH("Satellite",Event_sat,0)),"")</f>
        <v>15.542754267369403</v>
      </c>
      <c r="M50" s="124">
        <f ca="1">IF(T_satellite&lt;&gt;0,INDEX(BetaD,MATCH("Satellite",Event_sat,0)),"")</f>
        <v>73.532194644370762</v>
      </c>
    </row>
    <row r="51" spans="1:13" x14ac:dyDescent="0.3">
      <c r="A51" s="161"/>
      <c r="B51" s="166" t="str">
        <f>IF(Lang="Français","Rayon exterieur","Half-diameter ext")</f>
        <v>Rayon exterieur</v>
      </c>
      <c r="D51" s="162"/>
      <c r="F51" s="596" t="str">
        <f>IF(Lang="Français","Impact du satellite",IF(Lang="English","Satellite impact",""))</f>
        <v>Impact du satellite</v>
      </c>
      <c r="G51" s="597"/>
      <c r="H51" s="125">
        <f ca="1">IF(T_satellite&lt;&gt;0,T_satellite+Dt_satellite,"")</f>
        <v>24.278690511833524</v>
      </c>
      <c r="I51" s="130" t="str">
        <f>IF(T_satellite&lt;&gt;0,"~0","")</f>
        <v>~0</v>
      </c>
      <c r="J51" s="130" t="str">
        <f ca="1">IF(T_satellite&lt;&gt;0,CONCATENATE(TEXT(X_satellite-Dx_sat,"0")," | ",TEXT(X_satellite+Dx_sat,"0")),"")</f>
        <v>-54 | 154</v>
      </c>
      <c r="K51" s="130">
        <f>IF(T_satellite&lt;&gt;0,V_satellite,"")</f>
        <v>10.960038730752361</v>
      </c>
      <c r="L51" s="128">
        <f>IF(T_satellite&lt;&gt;0,g,"")</f>
        <v>9.81</v>
      </c>
      <c r="M51" s="131" t="str">
        <f>IF(T_satellite&lt;&gt;0,"-","")</f>
        <v>-</v>
      </c>
    </row>
    <row r="52" spans="1:13" x14ac:dyDescent="0.3">
      <c r="A52" s="161"/>
      <c r="B52" s="168">
        <v>299</v>
      </c>
      <c r="D52" s="162"/>
    </row>
    <row r="53" spans="1:13" x14ac:dyDescent="0.3">
      <c r="A53" s="161"/>
      <c r="B53" s="166" t="str">
        <f>IF(Lang="Français","Rayon intérieur","Half-diameter int")</f>
        <v>Rayon intérieur</v>
      </c>
      <c r="D53" s="162"/>
    </row>
    <row r="54" spans="1:13" x14ac:dyDescent="0.3">
      <c r="A54" s="161"/>
      <c r="B54" s="168">
        <v>29</v>
      </c>
      <c r="D54" s="162"/>
    </row>
    <row r="55" spans="1:13" x14ac:dyDescent="0.3">
      <c r="A55" s="161"/>
      <c r="B55" s="169" t="s">
        <v>9</v>
      </c>
      <c r="D55" s="162"/>
    </row>
    <row r="56" spans="1:13" x14ac:dyDescent="0.3">
      <c r="A56" s="161"/>
      <c r="B56" s="174">
        <f>PI()*(B52^2-B54^2)/10^6</f>
        <v>0.27821944540191207</v>
      </c>
      <c r="D56" s="162"/>
    </row>
    <row r="57" spans="1:13" x14ac:dyDescent="0.3">
      <c r="A57" s="163"/>
      <c r="B57" s="164"/>
      <c r="C57" s="164"/>
      <c r="D57" s="165"/>
    </row>
    <row r="94" spans="2:2" x14ac:dyDescent="0.3">
      <c r="B94" s="24" t="str">
        <f>IF(Lang="Français","Vitesse de descente sous parachute :",IF(Lang="English","Fall velocity over parachute:",""))</f>
        <v>Vitesse de descente sous parachute :</v>
      </c>
    </row>
    <row r="103" spans="2:9" x14ac:dyDescent="0.3">
      <c r="B103" s="24" t="str">
        <f>IF(Lang="Français","Textes pour les listes déroulantes et graphiques :","Texts for drop-down lists &amp; graphics :")</f>
        <v>Textes pour les listes déroulantes et graphiques :</v>
      </c>
    </row>
    <row r="104" spans="2:9" x14ac:dyDescent="0.3">
      <c r="F104" s="221" t="s">
        <v>409</v>
      </c>
      <c r="G104" s="1" t="s">
        <v>416</v>
      </c>
      <c r="I104" s="1" t="s">
        <v>564</v>
      </c>
    </row>
    <row r="105" spans="2:9" x14ac:dyDescent="0.3">
      <c r="B105" s="1" t="s">
        <v>120</v>
      </c>
      <c r="F105" s="477">
        <f ca="1">Combustion+Depotage-9</f>
        <v>3.9600000000000009</v>
      </c>
      <c r="G105" s="478" t="s">
        <v>411</v>
      </c>
      <c r="I105" s="1" t="s">
        <v>565</v>
      </c>
    </row>
    <row r="106" spans="2:9" x14ac:dyDescent="0.3">
      <c r="B106" s="1" t="s">
        <v>121</v>
      </c>
      <c r="F106" s="477">
        <f ca="1">Combustion+Depotage-7</f>
        <v>5.9600000000000009</v>
      </c>
      <c r="G106" s="478" t="s">
        <v>412</v>
      </c>
      <c r="I106" s="1" t="s">
        <v>566</v>
      </c>
    </row>
    <row r="107" spans="2:9" x14ac:dyDescent="0.3">
      <c r="B107" s="1" t="str">
        <f>IF(T_para&gt;0,IF(Lang="Français","Phase ascendante","Climbing phase"),"")</f>
        <v>Phase ascendante</v>
      </c>
      <c r="F107" s="477">
        <f ca="1">Combustion+Depotage-5</f>
        <v>7.9600000000000009</v>
      </c>
      <c r="G107" s="478" t="s">
        <v>413</v>
      </c>
    </row>
    <row r="108" spans="2:9" x14ac:dyDescent="0.3">
      <c r="B108" s="1" t="str">
        <f>IF(Lang="Français","Descente balistique","Balistic fall")</f>
        <v>Descente balistique</v>
      </c>
      <c r="F108" s="477">
        <f ca="1">Combustion+Depotage-3</f>
        <v>9.9600000000000009</v>
      </c>
      <c r="G108" s="478" t="s">
        <v>414</v>
      </c>
    </row>
    <row r="109" spans="2:9" x14ac:dyDescent="0.3">
      <c r="B109" s="1" t="str">
        <f>IF(T_para&gt;0,IF(Lang="Français","Fusée sous parachute","Rocket under parachute"),"")</f>
        <v>Fusée sous parachute</v>
      </c>
      <c r="F109" s="477">
        <f ca="1">Combustion+Depotage</f>
        <v>12.96</v>
      </c>
      <c r="G109" s="478" t="s">
        <v>415</v>
      </c>
    </row>
    <row r="110" spans="2:9" x14ac:dyDescent="0.3">
      <c r="B110" s="1" t="str">
        <f>IF(AND(Nb_sat="1 satellite",T_satellite&gt;0),IF(Lang="Français","Satellite sous parachute","Satellite over parachute"),"")</f>
        <v/>
      </c>
      <c r="F110" s="479" t="str">
        <f>IF(Lang="Français","autre",IF(Lang="English","other",""))</f>
        <v>autre</v>
      </c>
    </row>
    <row r="111" spans="2:9" x14ac:dyDescent="0.3">
      <c r="B111" s="1" t="str">
        <f>IF(Lang="Français","Trajectoire (x z)","Trajectory (x z)")</f>
        <v>Trajectoire (x z)</v>
      </c>
    </row>
    <row r="112" spans="2:9" x14ac:dyDescent="0.3">
      <c r="B112" s="1" t="str">
        <f>IF(Lang="Français","Portée x [m]","Range x [m]")</f>
        <v>Portée x [m]</v>
      </c>
    </row>
    <row r="113" spans="2:3" x14ac:dyDescent="0.3">
      <c r="B113" s="1" t="str">
        <f>IF(Lang="Français","Temps [s]","Time [s]")</f>
        <v>Temps [s]</v>
      </c>
    </row>
    <row r="114" spans="2:3" x14ac:dyDescent="0.3">
      <c r="B114" s="1" t="str">
        <f>IF(Lang="Français","Altitude z  /  Temps","Altitude z  /  Time")</f>
        <v>Altitude z  /  Temps</v>
      </c>
      <c r="C114" s="1">
        <f>IF(OR(C26=F104,C26=F110),C27,C26)</f>
        <v>8</v>
      </c>
    </row>
    <row r="116" spans="2:3" x14ac:dyDescent="0.3">
      <c r="B116" s="1" t="s">
        <v>410</v>
      </c>
    </row>
    <row r="118" spans="2:3" x14ac:dyDescent="0.3">
      <c r="B118" s="24" t="str">
        <f>IF(Lang="Français","Données pour les graphiques :","Data for plots:")</f>
        <v>Données pour les graphiques :</v>
      </c>
    </row>
    <row r="120" spans="2:3" x14ac:dyDescent="0.3">
      <c r="B120" s="210" t="s">
        <v>47</v>
      </c>
      <c r="C120" s="211" t="s">
        <v>47</v>
      </c>
    </row>
    <row r="121" spans="2:3" x14ac:dyDescent="0.3">
      <c r="B121" s="218">
        <f ca="1">MAX(Altitude_culmi,Portee_balistique)</f>
        <v>296.10396047690489</v>
      </c>
      <c r="C121" s="216">
        <f ca="1">MAX(Altitude_culmi,Portee_balistique)</f>
        <v>296.10396047690489</v>
      </c>
    </row>
    <row r="123" spans="2:3" x14ac:dyDescent="0.3">
      <c r="B123" s="210" t="s">
        <v>49</v>
      </c>
      <c r="C123" s="211" t="s">
        <v>45</v>
      </c>
    </row>
    <row r="124" spans="2:3" x14ac:dyDescent="0.3">
      <c r="B124" s="217">
        <f ca="1">X_para</f>
        <v>96.244846724568077</v>
      </c>
      <c r="C124" s="214">
        <f ca="1">Alt_para</f>
        <v>292.02863415437969</v>
      </c>
    </row>
    <row r="125" spans="2:3" x14ac:dyDescent="0.3">
      <c r="B125" s="217">
        <f ca="1">X_para</f>
        <v>96.244846724568077</v>
      </c>
      <c r="C125" s="214">
        <f ca="1">Alt_para/2</f>
        <v>146.01431707718984</v>
      </c>
    </row>
    <row r="126" spans="2:3" x14ac:dyDescent="0.3">
      <c r="B126" s="217">
        <f ca="1">X_para</f>
        <v>96.244846724568077</v>
      </c>
      <c r="C126" s="214">
        <v>0</v>
      </c>
    </row>
    <row r="127" spans="2:3" x14ac:dyDescent="0.3">
      <c r="B127" s="217">
        <f ca="1">X_para+Alt_para/40</f>
        <v>103.54556257842756</v>
      </c>
      <c r="C127" s="214">
        <f ca="1">Alt_para/20</f>
        <v>14.601431707718984</v>
      </c>
    </row>
    <row r="128" spans="2:3" x14ac:dyDescent="0.3">
      <c r="B128" s="217">
        <f ca="1">X_para</f>
        <v>96.244846724568077</v>
      </c>
      <c r="C128" s="214">
        <v>0</v>
      </c>
    </row>
    <row r="129" spans="2:6" x14ac:dyDescent="0.3">
      <c r="B129" s="217">
        <f ca="1">X_para-Alt_para/40</f>
        <v>88.944130870708591</v>
      </c>
      <c r="C129" s="214">
        <f ca="1">Alt_para/20</f>
        <v>14.601431707718984</v>
      </c>
    </row>
    <row r="130" spans="2:6" x14ac:dyDescent="0.3">
      <c r="B130" s="218">
        <f ca="1">X_para</f>
        <v>96.244846724568077</v>
      </c>
      <c r="C130" s="219">
        <v>0</v>
      </c>
    </row>
    <row r="131" spans="2:6" x14ac:dyDescent="0.3">
      <c r="B131" s="210" t="s">
        <v>48</v>
      </c>
      <c r="C131" s="211" t="s">
        <v>45</v>
      </c>
    </row>
    <row r="132" spans="2:6" x14ac:dyDescent="0.3">
      <c r="B132" s="213">
        <f>T_para</f>
        <v>8</v>
      </c>
      <c r="C132" s="214">
        <f ca="1">Alt_para</f>
        <v>292.02863415437969</v>
      </c>
    </row>
    <row r="133" spans="2:6" x14ac:dyDescent="0.3">
      <c r="B133" s="213">
        <f ca="1">(B132+B134)/2</f>
        <v>36.481172596589232</v>
      </c>
      <c r="C133" s="214">
        <f ca="1">(C132+C134)/2</f>
        <v>146.01431707718984</v>
      </c>
      <c r="E133" s="232">
        <v>1</v>
      </c>
      <c r="F133" s="233" t="s">
        <v>177</v>
      </c>
    </row>
    <row r="134" spans="2:6" x14ac:dyDescent="0.3">
      <c r="B134" s="213">
        <f ca="1">H49</f>
        <v>64.962345193178464</v>
      </c>
      <c r="C134" s="214">
        <f>0</f>
        <v>0</v>
      </c>
      <c r="E134" s="161">
        <v>1</v>
      </c>
      <c r="F134" s="234" t="s">
        <v>178</v>
      </c>
    </row>
    <row r="135" spans="2:6" x14ac:dyDescent="0.3">
      <c r="B135" s="213">
        <f ca="1">H49+E133*sS/2*zZ_fus-E134*sS*tT_fus</f>
        <v>64.35561389732851</v>
      </c>
      <c r="C135" s="214">
        <f ca="1">Alt_para-V_para*(H49-T_para)+E133*sS*Altitude_culmi/H49*zZ_fus+E134*sS/2*Altitude_culmi/H49*tT_fus</f>
        <v>10.555914941860928</v>
      </c>
      <c r="E135" s="161"/>
      <c r="F135" s="241" t="s">
        <v>179</v>
      </c>
    </row>
    <row r="136" spans="2:6" x14ac:dyDescent="0.3">
      <c r="B136" s="213">
        <f ca="1">H49</f>
        <v>64.962345193178464</v>
      </c>
      <c r="C136" s="214">
        <f ca="1">Alt_para-V_para*(H49-T_para)</f>
        <v>0</v>
      </c>
      <c r="E136" s="235" t="s">
        <v>174</v>
      </c>
      <c r="F136" s="236">
        <f ca="1">T_balistique/10</f>
        <v>1.6099999999999963</v>
      </c>
    </row>
    <row r="137" spans="2:6" x14ac:dyDescent="0.3">
      <c r="B137" s="213">
        <f ca="1">H49-E133*sS/2*zZ_fus-E134*sS*tT_fus</f>
        <v>62.745613897328532</v>
      </c>
      <c r="C137" s="214">
        <f ca="1">Alt_para-V_para*(H49-T_para)+E133*sS*Altitude_culmi/H49*zZ_fus-E134*sS/2*Altitude_culmi/H49*tT_fus</f>
        <v>4.1211221925028525</v>
      </c>
      <c r="E137" s="235" t="s">
        <v>175</v>
      </c>
      <c r="F137" s="236">
        <f ca="1">(H49-T_para)/H49</f>
        <v>0.87685173655276138</v>
      </c>
    </row>
    <row r="138" spans="2:6" x14ac:dyDescent="0.3">
      <c r="B138" s="215">
        <f ca="1">H49</f>
        <v>64.962345193178464</v>
      </c>
      <c r="C138" s="216">
        <f ca="1">Alt_para-V_para*(H49-T_para)</f>
        <v>0</v>
      </c>
      <c r="E138" s="237" t="s">
        <v>176</v>
      </c>
      <c r="F138" s="238">
        <f ca="1">V_para*(H49-T_para)/Alt_para</f>
        <v>0.99999999999999978</v>
      </c>
    </row>
    <row r="140" spans="2:6" x14ac:dyDescent="0.3">
      <c r="B140" s="210" t="s">
        <v>51</v>
      </c>
      <c r="C140" s="211" t="s">
        <v>46</v>
      </c>
    </row>
    <row r="141" spans="2:6" x14ac:dyDescent="0.3">
      <c r="B141" s="217" t="b">
        <f>IF(Nb_sat="1 satellite",X_satellite)</f>
        <v>0</v>
      </c>
      <c r="C141" s="214" t="b">
        <f>IF(Nb_sat="1 satellite",Alt_sat)</f>
        <v>0</v>
      </c>
    </row>
    <row r="142" spans="2:6" x14ac:dyDescent="0.3">
      <c r="B142" s="217" t="b">
        <f>IF(Nb_sat="1 satellite",X_satellite)</f>
        <v>0</v>
      </c>
      <c r="C142" s="214" t="b">
        <f>IF(Nb_sat="1 satellite",Alt_sat*1/4)</f>
        <v>0</v>
      </c>
    </row>
    <row r="143" spans="2:6" x14ac:dyDescent="0.3">
      <c r="B143" s="217" t="b">
        <f>IF(Nb_sat="1 satellite",X_satellite)</f>
        <v>0</v>
      </c>
      <c r="C143" s="214" t="b">
        <f>IF(Nb_sat="1 satellite",0)</f>
        <v>0</v>
      </c>
    </row>
    <row r="144" spans="2:6" x14ac:dyDescent="0.3">
      <c r="B144" s="217" t="b">
        <f>IF(Nb_sat="1 satellite",X_satellite+Alt_sat/40)</f>
        <v>0</v>
      </c>
      <c r="C144" s="214" t="b">
        <f>IF(Nb_sat="1 satellite",Alt_sat/20)</f>
        <v>0</v>
      </c>
    </row>
    <row r="145" spans="2:6" x14ac:dyDescent="0.3">
      <c r="B145" s="217" t="b">
        <f>IF(Nb_sat="1 satellite",X_satellite)</f>
        <v>0</v>
      </c>
      <c r="C145" s="214" t="b">
        <f>IF(Nb_sat="1 satellite",0)</f>
        <v>0</v>
      </c>
    </row>
    <row r="146" spans="2:6" x14ac:dyDescent="0.3">
      <c r="B146" s="217" t="b">
        <f>IF(Nb_sat="1 satellite",X_satellite-Alt_sat/40)</f>
        <v>0</v>
      </c>
      <c r="C146" s="214" t="b">
        <f>IF(Nb_sat="1 satellite",Alt_sat/20)</f>
        <v>0</v>
      </c>
    </row>
    <row r="147" spans="2:6" x14ac:dyDescent="0.3">
      <c r="B147" s="218" t="b">
        <f>IF(Nb_sat="1 satellite",X_satellite)</f>
        <v>0</v>
      </c>
      <c r="C147" s="214" t="b">
        <f>IF(Nb_sat="1 satellite",0)</f>
        <v>0</v>
      </c>
    </row>
    <row r="148" spans="2:6" x14ac:dyDescent="0.3">
      <c r="B148" s="210" t="s">
        <v>50</v>
      </c>
      <c r="C148" s="211" t="s">
        <v>46</v>
      </c>
    </row>
    <row r="149" spans="2:6" x14ac:dyDescent="0.3">
      <c r="B149" s="213" t="b">
        <f>IF(Nb_sat="1 satellite",T_satellite)</f>
        <v>0</v>
      </c>
      <c r="C149" s="214" t="b">
        <f>IF(Nb_sat="1 satellite",Alt_sat)</f>
        <v>0</v>
      </c>
      <c r="D149" s="221"/>
    </row>
    <row r="150" spans="2:6" x14ac:dyDescent="0.3">
      <c r="B150" s="213">
        <f>(B149+B151)/2</f>
        <v>0</v>
      </c>
      <c r="C150" s="214">
        <f>(C149+C151)/2</f>
        <v>0</v>
      </c>
      <c r="D150" s="221"/>
    </row>
    <row r="151" spans="2:6" x14ac:dyDescent="0.3">
      <c r="B151" s="213" t="b">
        <f>IF(Nb_sat="1 satellite",H51)</f>
        <v>0</v>
      </c>
      <c r="C151" s="214" t="b">
        <f>IF(Nb_sat="1 satellite",0)</f>
        <v>0</v>
      </c>
    </row>
    <row r="152" spans="2:6" x14ac:dyDescent="0.3">
      <c r="B152" s="213" t="b">
        <f>IF(Nb_sat="1 satellite",H51+E133*sS/2*zZ_sat-E134*sS*tT_sat)</f>
        <v>0</v>
      </c>
      <c r="C152" s="214" t="b">
        <f>IF(Nb_sat="1 satellite",Alt_sat-V_satellite*(H51-T_satellite)+E133*sS*Altitude_culmi/H51*zZ_sat+E134*sS/2*Altitude_culmi/H51*tT_sat)</f>
        <v>0</v>
      </c>
      <c r="D152" s="221"/>
    </row>
    <row r="153" spans="2:6" x14ac:dyDescent="0.3">
      <c r="B153" s="213" t="b">
        <f>IF(Nb_sat="1 satellite",H51)</f>
        <v>0</v>
      </c>
      <c r="C153" s="214" t="b">
        <f>IF(Nb_sat="1 satellite",0)</f>
        <v>0</v>
      </c>
    </row>
    <row r="154" spans="2:6" x14ac:dyDescent="0.3">
      <c r="B154" s="213" t="b">
        <f>IF(Nb_sat="1 satellite",H51-sS/2*zZ_sat-E134*sS*tT_sat)</f>
        <v>0</v>
      </c>
      <c r="C154" s="214" t="b">
        <f>IF(Nb_sat="1 satellite",Alt_sat-V_satellite*(H51-T_satellite)+E133*sS*Altitude_culmi/H51*zZ_sat-E134*sS/2*Altitude_culmi/H51*tT_sat)</f>
        <v>0</v>
      </c>
      <c r="E154" s="239" t="s">
        <v>175</v>
      </c>
      <c r="F154" s="240">
        <f ca="1">(T_balistique-T_satellite)/T_balistique</f>
        <v>0.78260869565217339</v>
      </c>
    </row>
    <row r="155" spans="2:6" x14ac:dyDescent="0.3">
      <c r="B155" s="215" t="b">
        <f>IF(Nb_sat="1 satellite",H51)</f>
        <v>0</v>
      </c>
      <c r="C155" s="216" t="b">
        <f>IF(Nb_sat="1 satellite",0)</f>
        <v>0</v>
      </c>
      <c r="E155" s="237" t="s">
        <v>176</v>
      </c>
      <c r="F155" s="238">
        <f ca="1">V_satellite*(T_balistique-T_satellite)/Alt_sat</f>
        <v>0.60639047455007933</v>
      </c>
    </row>
    <row r="157" spans="2:6" x14ac:dyDescent="0.3">
      <c r="B157" s="210" t="s">
        <v>2</v>
      </c>
      <c r="C157" s="228" t="s">
        <v>29</v>
      </c>
      <c r="D157" s="211" t="s">
        <v>3</v>
      </c>
    </row>
    <row r="158" spans="2:6" x14ac:dyDescent="0.3">
      <c r="B158" s="231">
        <f>T_para/4</f>
        <v>2</v>
      </c>
      <c r="C158" s="82">
        <f ca="1">Alt_para/2</f>
        <v>146.01431707718984</v>
      </c>
      <c r="D158" s="214">
        <f ca="1">X_para/4</f>
        <v>24.061211681142019</v>
      </c>
    </row>
    <row r="159" spans="2:6" x14ac:dyDescent="0.3">
      <c r="B159" s="229">
        <f ca="1">Temps_culmi + (T_balistique-Temps_culmi)/2</f>
        <v>11.549999999999976</v>
      </c>
      <c r="C159" s="230">
        <f ca="1">Altitude_culmi/2</f>
        <v>148.05198023845244</v>
      </c>
      <c r="D159" s="216">
        <f ca="1">X_culmi+(Portee_balistique-X_culmi)*2/3</f>
        <v>129.00661963875723</v>
      </c>
    </row>
    <row r="161" spans="2:6" x14ac:dyDescent="0.3">
      <c r="B161" s="210" t="s">
        <v>306</v>
      </c>
      <c r="C161" s="228" t="s">
        <v>305</v>
      </c>
      <c r="D161" s="422" t="s">
        <v>307</v>
      </c>
    </row>
    <row r="162" spans="2:6" x14ac:dyDescent="0.3">
      <c r="B162" s="231">
        <f ca="1">IF(AND(Altitude_culmi&gt;80, Altitude_culmi&lt;=350), 49, NA())</f>
        <v>49</v>
      </c>
      <c r="C162" s="5">
        <v>0</v>
      </c>
      <c r="D162" s="82">
        <f t="shared" ref="D162:D177" ca="1" si="0">X_culmi+C162</f>
        <v>86.828118452377439</v>
      </c>
      <c r="E162" s="422"/>
      <c r="F162" s="423" t="s">
        <v>307</v>
      </c>
    </row>
    <row r="163" spans="2:6" x14ac:dyDescent="0.3">
      <c r="B163" s="231">
        <f ca="1">IF(AND(Altitude_culmi&gt;80, Altitude_culmi&lt;=350), 49, NA())</f>
        <v>49</v>
      </c>
      <c r="C163" s="5">
        <v>23</v>
      </c>
      <c r="D163" s="82">
        <f t="shared" ca="1" si="0"/>
        <v>109.82811845237744</v>
      </c>
      <c r="E163" s="82"/>
      <c r="F163" s="214">
        <f t="shared" ref="F163:F178" ca="1" si="1">X_culmi-C162</f>
        <v>86.828118452377439</v>
      </c>
    </row>
    <row r="164" spans="2:6" x14ac:dyDescent="0.3">
      <c r="B164" s="231">
        <f ca="1">IF(AND(Altitude_culmi&gt;80, Altitude_culmi&lt;=350), 43, NA())</f>
        <v>43</v>
      </c>
      <c r="C164" s="5">
        <v>23</v>
      </c>
      <c r="D164" s="82">
        <f t="shared" ca="1" si="0"/>
        <v>109.82811845237744</v>
      </c>
      <c r="E164" s="82"/>
      <c r="F164" s="214">
        <f t="shared" ca="1" si="1"/>
        <v>63.828118452377439</v>
      </c>
    </row>
    <row r="165" spans="2:6" x14ac:dyDescent="0.3">
      <c r="B165" s="231">
        <f ca="1">IF(AND(Altitude_culmi&gt;80, Altitude_culmi&lt;=350), 43, NA())</f>
        <v>43</v>
      </c>
      <c r="C165" s="5">
        <v>0</v>
      </c>
      <c r="D165" s="82">
        <f t="shared" ca="1" si="0"/>
        <v>86.828118452377439</v>
      </c>
      <c r="E165" s="82"/>
      <c r="F165" s="214">
        <f t="shared" ca="1" si="1"/>
        <v>63.828118452377439</v>
      </c>
    </row>
    <row r="166" spans="2:6" x14ac:dyDescent="0.3">
      <c r="B166" s="231">
        <f ca="1">IF(AND(Altitude_culmi&gt;80, Altitude_culmi&lt;=350), 43, NA())</f>
        <v>43</v>
      </c>
      <c r="C166" s="5">
        <v>23</v>
      </c>
      <c r="D166" s="82">
        <f t="shared" ca="1" si="0"/>
        <v>109.82811845237744</v>
      </c>
      <c r="E166" s="82"/>
      <c r="F166" s="214">
        <f t="shared" ca="1" si="1"/>
        <v>86.828118452377439</v>
      </c>
    </row>
    <row r="167" spans="2:6" x14ac:dyDescent="0.3">
      <c r="B167" s="231">
        <f ca="1">IF(AND(Altitude_culmi&gt;80, Altitude_culmi&lt;=350), 0.5, NA())</f>
        <v>0.5</v>
      </c>
      <c r="C167" s="5">
        <v>23</v>
      </c>
      <c r="D167" s="82">
        <f t="shared" ca="1" si="0"/>
        <v>109.82811845237744</v>
      </c>
      <c r="E167" s="82"/>
      <c r="F167" s="214">
        <f t="shared" ca="1" si="1"/>
        <v>63.828118452377439</v>
      </c>
    </row>
    <row r="168" spans="2:6" x14ac:dyDescent="0.3">
      <c r="B168" s="231">
        <f ca="1">IF(AND(Altitude_culmi&gt;80, Altitude_culmi&lt;=350), 0.5, NA())</f>
        <v>0.5</v>
      </c>
      <c r="C168" s="5">
        <v>8</v>
      </c>
      <c r="D168" s="82">
        <f t="shared" ca="1" si="0"/>
        <v>94.828118452377439</v>
      </c>
      <c r="E168" s="82"/>
      <c r="F168" s="214">
        <f t="shared" ca="1" si="1"/>
        <v>63.828118452377439</v>
      </c>
    </row>
    <row r="169" spans="2:6" x14ac:dyDescent="0.3">
      <c r="B169" s="231">
        <f ca="1">IF(AND(Altitude_culmi&gt;80, Altitude_culmi&lt;=350), 27, NA())</f>
        <v>27</v>
      </c>
      <c r="C169" s="5">
        <v>8</v>
      </c>
      <c r="D169" s="82">
        <f t="shared" ca="1" si="0"/>
        <v>94.828118452377439</v>
      </c>
      <c r="E169" s="82"/>
      <c r="F169" s="214">
        <f t="shared" ca="1" si="1"/>
        <v>78.828118452377439</v>
      </c>
    </row>
    <row r="170" spans="2:6" x14ac:dyDescent="0.3">
      <c r="B170" s="231">
        <f ca="1">IF(AND(Altitude_culmi&gt;80, Altitude_culmi&lt;=350), 27, NA())</f>
        <v>27</v>
      </c>
      <c r="C170" s="5">
        <v>23</v>
      </c>
      <c r="D170" s="82">
        <f t="shared" ca="1" si="0"/>
        <v>109.82811845237744</v>
      </c>
      <c r="E170" s="82"/>
      <c r="F170" s="214">
        <f t="shared" ca="1" si="1"/>
        <v>78.828118452377439</v>
      </c>
    </row>
    <row r="171" spans="2:6" x14ac:dyDescent="0.3">
      <c r="B171" s="231">
        <f ca="1">IF(AND(Altitude_culmi&gt;80, Altitude_culmi&lt;=350), 27, NA())</f>
        <v>27</v>
      </c>
      <c r="C171" s="5">
        <v>8</v>
      </c>
      <c r="D171" s="82">
        <f t="shared" ca="1" si="0"/>
        <v>94.828118452377439</v>
      </c>
      <c r="E171" s="82"/>
      <c r="F171" s="214">
        <f t="shared" ca="1" si="1"/>
        <v>63.828118452377439</v>
      </c>
    </row>
    <row r="172" spans="2:6" x14ac:dyDescent="0.3">
      <c r="B172" s="231">
        <f ca="1">IF(AND(Altitude_culmi&gt;80, Altitude_culmi&lt;=350), 29, NA())</f>
        <v>29</v>
      </c>
      <c r="C172" s="5">
        <v>7.6</v>
      </c>
      <c r="D172" s="82">
        <f t="shared" ca="1" si="0"/>
        <v>94.428118452377433</v>
      </c>
      <c r="E172" s="82"/>
      <c r="F172" s="214">
        <f t="shared" ca="1" si="1"/>
        <v>78.828118452377439</v>
      </c>
    </row>
    <row r="173" spans="2:6" x14ac:dyDescent="0.3">
      <c r="B173" s="231">
        <f ca="1">IF(AND(Altitude_culmi&gt;80, Altitude_culmi&lt;=350), 31, NA())</f>
        <v>31</v>
      </c>
      <c r="C173" s="5">
        <v>6.8</v>
      </c>
      <c r="D173" s="82">
        <f t="shared" ca="1" si="0"/>
        <v>93.628118452377436</v>
      </c>
      <c r="E173" s="82"/>
      <c r="F173" s="214">
        <f t="shared" ca="1" si="1"/>
        <v>79.228118452377444</v>
      </c>
    </row>
    <row r="174" spans="2:6" x14ac:dyDescent="0.3">
      <c r="B174" s="231">
        <f ca="1">IF(AND(Altitude_culmi&gt;80, Altitude_culmi&lt;=350), 32, NA())</f>
        <v>32</v>
      </c>
      <c r="C174" s="5">
        <v>6</v>
      </c>
      <c r="D174" s="82">
        <f t="shared" ca="1" si="0"/>
        <v>92.828118452377439</v>
      </c>
      <c r="E174" s="82"/>
      <c r="F174" s="214">
        <f t="shared" ca="1" si="1"/>
        <v>80.028118452377441</v>
      </c>
    </row>
    <row r="175" spans="2:6" x14ac:dyDescent="0.3">
      <c r="B175" s="231">
        <f ca="1">IF(AND(Altitude_culmi&gt;80, Altitude_culmi&lt;=350), 33, NA())</f>
        <v>33</v>
      </c>
      <c r="C175" s="5">
        <v>5</v>
      </c>
      <c r="D175" s="82">
        <f t="shared" ca="1" si="0"/>
        <v>91.828118452377439</v>
      </c>
      <c r="E175" s="82"/>
      <c r="F175" s="214">
        <f t="shared" ca="1" si="1"/>
        <v>80.828118452377439</v>
      </c>
    </row>
    <row r="176" spans="2:6" x14ac:dyDescent="0.3">
      <c r="B176" s="231">
        <f ca="1">IF(AND(Altitude_culmi&gt;80, Altitude_culmi&lt;=350), 34, NA())</f>
        <v>34</v>
      </c>
      <c r="C176" s="5">
        <v>3.8</v>
      </c>
      <c r="D176" s="82">
        <f t="shared" ca="1" si="0"/>
        <v>90.628118452377436</v>
      </c>
      <c r="E176" s="82"/>
      <c r="F176" s="214">
        <f t="shared" ca="1" si="1"/>
        <v>81.828118452377439</v>
      </c>
    </row>
    <row r="177" spans="2:6" x14ac:dyDescent="0.3">
      <c r="B177" s="229">
        <f ca="1">IF(AND(Altitude_culmi&gt;80, Altitude_culmi&lt;=350), 35, NA())</f>
        <v>35</v>
      </c>
      <c r="C177" s="421">
        <v>0</v>
      </c>
      <c r="D177" s="230">
        <f t="shared" ca="1" si="0"/>
        <v>86.828118452377439</v>
      </c>
      <c r="E177" s="82"/>
      <c r="F177" s="214">
        <f t="shared" ca="1" si="1"/>
        <v>83.028118452377441</v>
      </c>
    </row>
    <row r="178" spans="2:6" x14ac:dyDescent="0.3">
      <c r="E178" s="230"/>
      <c r="F178" s="216">
        <f t="shared" ca="1" si="1"/>
        <v>86.828118452377439</v>
      </c>
    </row>
    <row r="179" spans="2:6" x14ac:dyDescent="0.3">
      <c r="B179" s="210" t="s">
        <v>308</v>
      </c>
      <c r="C179" s="228" t="s">
        <v>309</v>
      </c>
      <c r="D179" s="228" t="s">
        <v>310</v>
      </c>
    </row>
    <row r="180" spans="2:6" x14ac:dyDescent="0.3">
      <c r="B180" s="231" t="e">
        <f ca="1">IF(Altitude_culmi&gt;350, 324, NA())</f>
        <v>#N/A</v>
      </c>
      <c r="C180" s="5">
        <v>0</v>
      </c>
      <c r="D180" s="82">
        <f t="shared" ref="D180:D200" ca="1" si="2">X_culmi+C180</f>
        <v>86.828118452377439</v>
      </c>
      <c r="E180" s="228"/>
      <c r="F180" s="211" t="s">
        <v>310</v>
      </c>
    </row>
    <row r="181" spans="2:6" x14ac:dyDescent="0.3">
      <c r="B181" s="231" t="e">
        <f ca="1">IF(Altitude_culmi&gt;350, 300, NA())</f>
        <v>#N/A</v>
      </c>
      <c r="C181" s="5">
        <v>0</v>
      </c>
      <c r="D181" s="82">
        <f t="shared" ca="1" si="2"/>
        <v>86.828118452377439</v>
      </c>
      <c r="E181" s="82"/>
      <c r="F181" s="214">
        <f t="shared" ref="F181:F201" ca="1" si="3">X_culmi-C180</f>
        <v>86.828118452377439</v>
      </c>
    </row>
    <row r="182" spans="2:6" x14ac:dyDescent="0.3">
      <c r="B182" s="231" t="e">
        <f ca="1">IF(Altitude_culmi&gt;350, 280, NA())</f>
        <v>#N/A</v>
      </c>
      <c r="C182" s="5">
        <v>10</v>
      </c>
      <c r="D182" s="82">
        <f t="shared" ca="1" si="2"/>
        <v>96.828118452377439</v>
      </c>
      <c r="E182" s="82"/>
      <c r="F182" s="214">
        <f t="shared" ca="1" si="3"/>
        <v>86.828118452377439</v>
      </c>
    </row>
    <row r="183" spans="2:6" x14ac:dyDescent="0.3">
      <c r="B183" s="231" t="e">
        <f ca="1">IF(Altitude_culmi&gt;350, 280, NA())</f>
        <v>#N/A</v>
      </c>
      <c r="C183" s="5">
        <v>0</v>
      </c>
      <c r="D183" s="82">
        <f t="shared" ca="1" si="2"/>
        <v>86.828118452377439</v>
      </c>
      <c r="E183" s="82"/>
      <c r="F183" s="214">
        <f t="shared" ca="1" si="3"/>
        <v>76.828118452377439</v>
      </c>
    </row>
    <row r="184" spans="2:6" x14ac:dyDescent="0.3">
      <c r="B184" s="231" t="e">
        <f ca="1">IF(Altitude_culmi&gt;350, 280, NA())</f>
        <v>#N/A</v>
      </c>
      <c r="C184" s="5">
        <v>10</v>
      </c>
      <c r="D184" s="82">
        <f t="shared" ca="1" si="2"/>
        <v>96.828118452377439</v>
      </c>
      <c r="E184" s="82"/>
      <c r="F184" s="214">
        <f t="shared" ca="1" si="3"/>
        <v>86.828118452377439</v>
      </c>
    </row>
    <row r="185" spans="2:6" x14ac:dyDescent="0.3">
      <c r="B185" s="231" t="e">
        <f ca="1">IF(Altitude_culmi&gt;350, 200, NA())</f>
        <v>#N/A</v>
      </c>
      <c r="C185" s="5">
        <v>13</v>
      </c>
      <c r="D185" s="82">
        <f t="shared" ca="1" si="2"/>
        <v>99.828118452377439</v>
      </c>
      <c r="E185" s="82"/>
      <c r="F185" s="214">
        <f t="shared" ca="1" si="3"/>
        <v>76.828118452377439</v>
      </c>
    </row>
    <row r="186" spans="2:6" x14ac:dyDescent="0.3">
      <c r="B186" s="231" t="e">
        <f ca="1">IF(Altitude_culmi&gt;350, 160, NA())</f>
        <v>#N/A</v>
      </c>
      <c r="C186" s="5">
        <v>17</v>
      </c>
      <c r="D186" s="82">
        <f t="shared" ca="1" si="2"/>
        <v>103.82811845237744</v>
      </c>
      <c r="E186" s="82"/>
      <c r="F186" s="214">
        <f t="shared" ca="1" si="3"/>
        <v>73.828118452377439</v>
      </c>
    </row>
    <row r="187" spans="2:6" x14ac:dyDescent="0.3">
      <c r="B187" s="231" t="e">
        <f ca="1">IF(Altitude_culmi&gt;350, 115, NA())</f>
        <v>#N/A</v>
      </c>
      <c r="C187" s="5">
        <v>20</v>
      </c>
      <c r="D187" s="82">
        <f t="shared" ca="1" si="2"/>
        <v>106.82811845237744</v>
      </c>
      <c r="E187" s="82"/>
      <c r="F187" s="214">
        <f t="shared" ca="1" si="3"/>
        <v>69.828118452377439</v>
      </c>
    </row>
    <row r="188" spans="2:6" x14ac:dyDescent="0.3">
      <c r="B188" s="231" t="e">
        <f ca="1">IF(Altitude_culmi&gt;350, 90, NA())</f>
        <v>#N/A</v>
      </c>
      <c r="C188" s="5">
        <v>25</v>
      </c>
      <c r="D188" s="82">
        <f t="shared" ca="1" si="2"/>
        <v>111.82811845237744</v>
      </c>
      <c r="E188" s="82"/>
      <c r="F188" s="214">
        <f t="shared" ca="1" si="3"/>
        <v>66.828118452377439</v>
      </c>
    </row>
    <row r="189" spans="2:6" x14ac:dyDescent="0.3">
      <c r="B189" s="231" t="e">
        <f ca="1">IF(Altitude_culmi&gt;350, 57, NA())</f>
        <v>#N/A</v>
      </c>
      <c r="C189" s="5">
        <v>30</v>
      </c>
      <c r="D189" s="82">
        <f t="shared" ca="1" si="2"/>
        <v>116.82811845237744</v>
      </c>
      <c r="E189" s="82"/>
      <c r="F189" s="214">
        <f t="shared" ca="1" si="3"/>
        <v>61.828118452377439</v>
      </c>
    </row>
    <row r="190" spans="2:6" x14ac:dyDescent="0.3">
      <c r="B190" s="231" t="e">
        <f ca="1">IF(Altitude_culmi&gt;350, 40, NA())</f>
        <v>#N/A</v>
      </c>
      <c r="C190" s="5">
        <v>36</v>
      </c>
      <c r="D190" s="82">
        <f t="shared" ca="1" si="2"/>
        <v>122.82811845237744</v>
      </c>
      <c r="E190" s="82"/>
      <c r="F190" s="214">
        <f t="shared" ca="1" si="3"/>
        <v>56.828118452377439</v>
      </c>
    </row>
    <row r="191" spans="2:6" x14ac:dyDescent="0.3">
      <c r="B191" s="231" t="e">
        <f ca="1">IF(Altitude_culmi&gt;350, 20, NA())</f>
        <v>#N/A</v>
      </c>
      <c r="C191" s="5">
        <v>48</v>
      </c>
      <c r="D191" s="82">
        <f t="shared" ca="1" si="2"/>
        <v>134.82811845237745</v>
      </c>
      <c r="E191" s="82"/>
      <c r="F191" s="214">
        <f t="shared" ca="1" si="3"/>
        <v>50.828118452377439</v>
      </c>
    </row>
    <row r="192" spans="2:6" x14ac:dyDescent="0.3">
      <c r="B192" s="231" t="e">
        <f ca="1">IF(Altitude_culmi&gt;350, 0.5, NA())</f>
        <v>#N/A</v>
      </c>
      <c r="C192" s="5">
        <v>62</v>
      </c>
      <c r="D192" s="82">
        <f t="shared" ca="1" si="2"/>
        <v>148.82811845237745</v>
      </c>
      <c r="E192" s="82"/>
      <c r="F192" s="214">
        <f t="shared" ca="1" si="3"/>
        <v>38.828118452377439</v>
      </c>
    </row>
    <row r="193" spans="2:6" x14ac:dyDescent="0.3">
      <c r="B193" s="231" t="e">
        <f ca="1">IF(Altitude_culmi&gt;350, 0.5, NA())</f>
        <v>#N/A</v>
      </c>
      <c r="C193" s="5">
        <v>37</v>
      </c>
      <c r="D193" s="82">
        <f t="shared" ca="1" si="2"/>
        <v>123.82811845237744</v>
      </c>
      <c r="E193" s="82"/>
      <c r="F193" s="214">
        <f t="shared" ca="1" si="3"/>
        <v>24.828118452377439</v>
      </c>
    </row>
    <row r="194" spans="2:6" x14ac:dyDescent="0.3">
      <c r="B194" s="231" t="e">
        <f ca="1">IF(Altitude_culmi&gt;350, 15, NA())</f>
        <v>#N/A</v>
      </c>
      <c r="C194" s="5">
        <v>30</v>
      </c>
      <c r="D194" s="82">
        <f t="shared" ca="1" si="2"/>
        <v>116.82811845237744</v>
      </c>
      <c r="E194" s="82"/>
      <c r="F194" s="214">
        <f t="shared" ca="1" si="3"/>
        <v>49.828118452377439</v>
      </c>
    </row>
    <row r="195" spans="2:6" x14ac:dyDescent="0.3">
      <c r="B195" s="231" t="e">
        <f ca="1">IF(Altitude_culmi&gt;350, 30, NA())</f>
        <v>#N/A</v>
      </c>
      <c r="C195" s="5">
        <v>15</v>
      </c>
      <c r="D195" s="82">
        <f t="shared" ca="1" si="2"/>
        <v>101.82811845237744</v>
      </c>
      <c r="E195" s="82"/>
      <c r="F195" s="214">
        <f t="shared" ca="1" si="3"/>
        <v>56.828118452377439</v>
      </c>
    </row>
    <row r="196" spans="2:6" x14ac:dyDescent="0.3">
      <c r="B196" s="231" t="e">
        <f ca="1">IF(Altitude_culmi&gt;350, 37, NA())</f>
        <v>#N/A</v>
      </c>
      <c r="C196" s="5">
        <v>0</v>
      </c>
      <c r="D196" s="82">
        <f t="shared" ca="1" si="2"/>
        <v>86.828118452377439</v>
      </c>
      <c r="E196" s="82"/>
      <c r="F196" s="214">
        <f t="shared" ca="1" si="3"/>
        <v>71.828118452377439</v>
      </c>
    </row>
    <row r="197" spans="2:6" x14ac:dyDescent="0.3">
      <c r="B197" s="231" t="e">
        <f ca="1">IF(Altitude_culmi&gt;350, 67, NA())</f>
        <v>#N/A</v>
      </c>
      <c r="C197" s="5">
        <v>0</v>
      </c>
      <c r="D197" s="82">
        <f t="shared" ca="1" si="2"/>
        <v>86.828118452377439</v>
      </c>
      <c r="E197" s="82"/>
      <c r="F197" s="214">
        <f t="shared" ca="1" si="3"/>
        <v>86.828118452377439</v>
      </c>
    </row>
    <row r="198" spans="2:6" x14ac:dyDescent="0.3">
      <c r="B198" s="231" t="e">
        <f ca="1">IF(Altitude_culmi&gt;350, 67, NA())</f>
        <v>#N/A</v>
      </c>
      <c r="C198" s="5">
        <v>17</v>
      </c>
      <c r="D198" s="82">
        <f t="shared" ca="1" si="2"/>
        <v>103.82811845237744</v>
      </c>
      <c r="E198" s="82"/>
      <c r="F198" s="214">
        <f t="shared" ca="1" si="3"/>
        <v>86.828118452377439</v>
      </c>
    </row>
    <row r="199" spans="2:6" x14ac:dyDescent="0.3">
      <c r="B199" s="231" t="e">
        <f ca="1">IF(Altitude_culmi&gt;350, 100, NA())</f>
        <v>#N/A</v>
      </c>
      <c r="C199" s="5">
        <v>11</v>
      </c>
      <c r="D199" s="82">
        <f t="shared" ca="1" si="2"/>
        <v>97.828118452377439</v>
      </c>
      <c r="E199" s="82"/>
      <c r="F199" s="214">
        <f t="shared" ca="1" si="3"/>
        <v>69.828118452377439</v>
      </c>
    </row>
    <row r="200" spans="2:6" x14ac:dyDescent="0.3">
      <c r="B200" s="229" t="e">
        <f ca="1">IF(Altitude_culmi&gt;350, 100, NA())</f>
        <v>#N/A</v>
      </c>
      <c r="C200" s="421">
        <v>0</v>
      </c>
      <c r="D200" s="230">
        <f t="shared" ca="1" si="2"/>
        <v>86.828118452377439</v>
      </c>
      <c r="E200" s="82"/>
      <c r="F200" s="214">
        <f t="shared" ca="1" si="3"/>
        <v>75.828118452377439</v>
      </c>
    </row>
    <row r="201" spans="2:6" x14ac:dyDescent="0.3">
      <c r="E201" s="230"/>
      <c r="F201" s="216">
        <f t="shared" ca="1" si="3"/>
        <v>86.828118452377439</v>
      </c>
    </row>
  </sheetData>
  <sheetProtection algorithmName="SHA-512" hashValue="54/g8dQ2RC65LqncMwJ2cd0LY+Ermcd3MHxRhdQ+5eIlTGzg9ayjpzMYUZU3QN55EKjPPfR4x04d0m+MFsILQw==" saltValue="8KZEyW6NBSE9XCBw0cMAWg==" spinCount="100000" sheet="1" objects="1" scenarios="1"/>
  <protectedRanges>
    <protectedRange sqref="C26" name="Plage1"/>
  </protectedRanges>
  <mergeCells count="43">
    <mergeCell ref="C10:D10"/>
    <mergeCell ref="C5:D5"/>
    <mergeCell ref="C2:D3"/>
    <mergeCell ref="C7:D7"/>
    <mergeCell ref="C8:D8"/>
    <mergeCell ref="C9:D9"/>
    <mergeCell ref="C6:D6"/>
    <mergeCell ref="C4:D4"/>
    <mergeCell ref="H35:I35"/>
    <mergeCell ref="H34:I34"/>
    <mergeCell ref="F29:G29"/>
    <mergeCell ref="H33:I33"/>
    <mergeCell ref="A40:D40"/>
    <mergeCell ref="H36:I36"/>
    <mergeCell ref="F36:G36"/>
    <mergeCell ref="F35:G35"/>
    <mergeCell ref="F34:G34"/>
    <mergeCell ref="F40:G40"/>
    <mergeCell ref="C23:D23"/>
    <mergeCell ref="C18:D18"/>
    <mergeCell ref="F24:G24"/>
    <mergeCell ref="F28:G28"/>
    <mergeCell ref="F27:G27"/>
    <mergeCell ref="F25:G25"/>
    <mergeCell ref="F26:G26"/>
    <mergeCell ref="C16:D16"/>
    <mergeCell ref="C11:D11"/>
    <mergeCell ref="C20:D20"/>
    <mergeCell ref="C21:D21"/>
    <mergeCell ref="C12:D12"/>
    <mergeCell ref="C14:D14"/>
    <mergeCell ref="C15:D15"/>
    <mergeCell ref="C19:D19"/>
    <mergeCell ref="F51:G51"/>
    <mergeCell ref="F42:G42"/>
    <mergeCell ref="F43:G43"/>
    <mergeCell ref="F44:G44"/>
    <mergeCell ref="F45:G45"/>
    <mergeCell ref="F50:G50"/>
    <mergeCell ref="F46:G46"/>
    <mergeCell ref="F47:G47"/>
    <mergeCell ref="F49:G49"/>
    <mergeCell ref="F48:G48"/>
  </mergeCells>
  <phoneticPr fontId="8" type="noConversion"/>
  <conditionalFormatting sqref="C27">
    <cfRule type="expression" dxfId="25" priority="247" stopIfTrue="1">
      <formula>NOT(OR(C26=F110,C26=F104))</formula>
    </cfRule>
  </conditionalFormatting>
  <conditionalFormatting sqref="C32">
    <cfRule type="cellIs" dxfId="24" priority="42" stopIfTrue="1" operator="notBetween">
      <formula>5</formula>
      <formula>15</formula>
    </cfRule>
  </conditionalFormatting>
  <conditionalFormatting sqref="D25">
    <cfRule type="expression" dxfId="23" priority="39" stopIfTrue="1">
      <formula>Nb_sat="0 satellite"</formula>
    </cfRule>
  </conditionalFormatting>
  <conditionalFormatting sqref="D26">
    <cfRule type="expression" dxfId="22" priority="2" stopIfTrue="1">
      <formula>Nb_sat="0 satellite"</formula>
    </cfRule>
  </conditionalFormatting>
  <conditionalFormatting sqref="D27:D31 D33:D35">
    <cfRule type="expression" dxfId="21" priority="59" stopIfTrue="1">
      <formula>Nb_sat="0 satellite"</formula>
    </cfRule>
  </conditionalFormatting>
  <conditionalFormatting sqref="D32">
    <cfRule type="expression" dxfId="20" priority="40" stopIfTrue="1">
      <formula>Nb_sat="0 satellite"</formula>
    </cfRule>
    <cfRule type="cellIs" dxfId="19" priority="49" stopIfTrue="1" operator="notBetween">
      <formula>5</formula>
      <formula>15</formula>
    </cfRule>
  </conditionalFormatting>
  <conditionalFormatting sqref="F26">
    <cfRule type="expression" dxfId="18" priority="26" stopIfTrue="1">
      <formula>Nb_sat="0 satellite"</formula>
    </cfRule>
  </conditionalFormatting>
  <conditionalFormatting sqref="F36:I36 F50:M50">
    <cfRule type="expression" dxfId="17" priority="22" stopIfTrue="1">
      <formula>Nb_sat="0 satellite"</formula>
    </cfRule>
  </conditionalFormatting>
  <conditionalFormatting sqref="F51:M51">
    <cfRule type="expression" dxfId="16" priority="21" stopIfTrue="1">
      <formula>Nb_sat="0 satellite"</formula>
    </cfRule>
  </conditionalFormatting>
  <conditionalFormatting sqref="H28 H48">
    <cfRule type="expression" dxfId="15" priority="4" stopIfTrue="1">
      <formula>ABS(Temps_culmi-T_para)&gt;2</formula>
    </cfRule>
  </conditionalFormatting>
  <conditionalFormatting sqref="H34:I34">
    <cfRule type="cellIs" dxfId="14" priority="14" stopIfTrue="1" operator="equal">
      <formula>"Brun/Orange…"</formula>
    </cfRule>
  </conditionalFormatting>
  <conditionalFormatting sqref="H35:I35">
    <cfRule type="cellIs" dxfId="13" priority="13" stopIfTrue="1" operator="equal">
      <formula>"Rouge…"</formula>
    </cfRule>
  </conditionalFormatting>
  <conditionalFormatting sqref="H26:M26">
    <cfRule type="expression" dxfId="12" priority="41" stopIfTrue="1">
      <formula>Nb_sat="0 satellite"</formula>
    </cfRule>
  </conditionalFormatting>
  <conditionalFormatting sqref="J29 J47">
    <cfRule type="expression" dxfId="11" priority="6" stopIfTrue="1">
      <formula>AND(Portee_balistique&gt;200,LEFT(Type_propu,4)="Mini")</formula>
    </cfRule>
  </conditionalFormatting>
  <conditionalFormatting sqref="K24 K43">
    <cfRule type="expression" dxfId="10" priority="44" stopIfTrue="1">
      <formula>AND(Vsortie_de_rampe&lt;18, OR(LEFT(Type_fusee,1)=",",LEFT(Type_fusee,4)="Mini",LEFT(Type_fusee,1)="R"))</formula>
    </cfRule>
    <cfRule type="expression" dxfId="9" priority="45" stopIfTrue="1">
      <formula>AND(Vsortie_de_rampe&lt;20, RIGHT(Type_fusee,1)=".")</formula>
    </cfRule>
  </conditionalFormatting>
  <conditionalFormatting sqref="K42">
    <cfRule type="expression" dxfId="8" priority="34" stopIfTrue="1">
      <formula>AND( $K$22=0, OR( $I$22&gt;0, $J$22&gt;0 ) )</formula>
    </cfRule>
  </conditionalFormatting>
  <conditionalFormatting sqref="N35">
    <cfRule type="expression" dxfId="7" priority="15" stopIfTrue="1">
      <formula>ROUND(SUM(C24:L36),0)=2221</formula>
    </cfRule>
  </conditionalFormatting>
  <conditionalFormatting sqref="N36">
    <cfRule type="expression" dxfId="6" priority="244" stopIfTrue="1">
      <formula>$N$36="propu NOK"</formula>
    </cfRule>
  </conditionalFormatting>
  <dataValidations disablePrompts="1" count="15">
    <dataValidation type="decimal" operator="greaterThanOrEqual" showErrorMessage="1" sqref="H42:K42 C31 D27:D29 C27" xr:uid="{00000000-0002-0000-0100-000000000000}">
      <formula1>0</formula1>
    </dataValidation>
    <dataValidation type="list" allowBlank="1" showInputMessage="1" showErrorMessage="1" sqref="H52" xr:uid="{00000000-0002-0000-0100-000001000000}">
      <formula1>gao</formula1>
    </dataValidation>
    <dataValidation operator="greaterThanOrEqual" showErrorMessage="1" sqref="D31 C29" xr:uid="{00000000-0002-0000-0100-000002000000}"/>
    <dataValidation type="decimal" errorStyle="warning" allowBlank="1" showErrorMessage="1" errorTitle="Cx para" error="Le Cx du parachute est souvent compris entre 0 et 2._x000a_Cx of parachute might be between 0 a 2." sqref="C30:D30" xr:uid="{00000000-0002-0000-0100-000003000000}">
      <formula1>0</formula1>
      <formula2>2</formula2>
    </dataValidation>
    <dataValidation sqref="C12:D12" xr:uid="{00000000-0002-0000-0100-000004000000}"/>
    <dataValidation operator="greaterThanOrEqual" sqref="C11:D11" xr:uid="{00000000-0002-0000-0100-000005000000}"/>
    <dataValidation type="decimal" errorStyle="warning" showErrorMessage="1" errorTitle="Cx" error="Le Cx est souvent compris entre 0,3 et 0,7._x000a_Cx may be between 0,3 &amp; 0,7." sqref="C16:D16" xr:uid="{00000000-0002-0000-0100-000006000000}">
      <formula1>0.3</formula1>
      <formula2>0.7</formula2>
    </dataValidation>
    <dataValidation type="decimal" operator="greaterThanOrEqual" allowBlank="1" showErrorMessage="1" sqref="C19:D19" xr:uid="{00000000-0002-0000-0100-000007000000}">
      <formula1>0</formula1>
    </dataValidation>
    <dataValidation type="decimal" errorStyle="information" allowBlank="1" showInputMessage="1" showErrorMessage="1" errorTitle="Angle de la rampe" error="Il est conseillé d'incliner à rampe entre 75° et 85° par rapport à l'horizontale._x000a_This Angle is recommended between 75° &amp; 85°." sqref="C20:D20" xr:uid="{00000000-0002-0000-0100-000008000000}">
      <formula1>75</formula1>
      <formula2>85</formula2>
    </dataValidation>
    <dataValidation type="whole" operator="greaterThanOrEqual" allowBlank="1" showErrorMessage="1" sqref="C21:D21" xr:uid="{00000000-0002-0000-0100-000009000000}">
      <formula1>0</formula1>
    </dataValidation>
    <dataValidation type="whole" allowBlank="1" showErrorMessage="1" sqref="M42" xr:uid="{00000000-0002-0000-0100-00000A000000}">
      <formula1>-360</formula1>
      <formula2>360</formula2>
    </dataValidation>
    <dataValidation type="list" showInputMessage="1" showErrorMessage="1" sqref="D24" xr:uid="{00000000-0002-0000-0100-00000B000000}">
      <formula1>Menu_sat</formula1>
    </dataValidation>
    <dataValidation type="whole" operator="greaterThanOrEqual" showErrorMessage="1" sqref="B44 B46 B52 B54" xr:uid="{00000000-0002-0000-0100-00000C000000}">
      <formula1>0</formula1>
    </dataValidation>
    <dataValidation type="list" showInputMessage="1" showErrorMessage="1" sqref="C26" xr:uid="{00000000-0002-0000-0100-00000D000000}">
      <formula1>IF(Depotage&lt;&gt;0,IF(LEFT(Type_propu,5)="Micro",$F$110,$F$105:$F$110),$F$104)</formula1>
    </dataValidation>
    <dataValidation type="list" operator="greaterThanOrEqual" showErrorMessage="1" sqref="C28" xr:uid="{901BEB42-9630-4910-AFF4-B844211D2B99}">
      <formula1>Liste_Type_para</formula1>
    </dataValidation>
  </dataValidations>
  <hyperlinks>
    <hyperlink ref="B12" location="Stabilito!C17" display="Stabilito!C17" xr:uid="{00000000-0004-0000-0100-000000000000}"/>
  </hyperlinks>
  <printOptions horizontalCentered="1" verticalCentered="1"/>
  <pageMargins left="7.874015748031496E-2" right="7.874015748031496E-2" top="7.874015748031496E-2" bottom="7.874015748031496E-2" header="0" footer="0"/>
  <pageSetup paperSize="9" firstPageNumber="0" orientation="landscape" horizontalDpi="300" verticalDpi="300" r:id="rId1"/>
  <headerFooter alignWithMargins="0"/>
  <ignoredErrors>
    <ignoredError sqref="B127:B133 B139:B150 C152 C154 C139:C141 C143:C150 C127:C133" formula="1"/>
    <ignoredError sqref="H46:I46 H49 J46:M46" evalError="1"/>
    <ignoredError sqref="G105:G109" numberStoredAsText="1"/>
    <ignoredError sqref="D25" unlockedFormula="1"/>
  </ignoredErrors>
  <drawing r:id="rId2"/>
  <legacyDrawing r:id="rId3"/>
  <oleObjects>
    <mc:AlternateContent xmlns:mc="http://schemas.openxmlformats.org/markup-compatibility/2006">
      <mc:Choice Requires="x14">
        <oleObject progId="Equation.3" shapeId="1425294" r:id="rId4">
          <objectPr defaultSize="0" autoPict="0" r:id="rId5">
            <anchor moveWithCells="1">
              <from>
                <xdr:col>1</xdr:col>
                <xdr:colOff>27214</xdr:colOff>
                <xdr:row>94</xdr:row>
                <xdr:rowOff>76200</xdr:rowOff>
              </from>
              <to>
                <xdr:col>3</xdr:col>
                <xdr:colOff>762000</xdr:colOff>
                <xdr:row>100</xdr:row>
                <xdr:rowOff>97971</xdr:rowOff>
              </to>
            </anchor>
          </objectPr>
        </oleObject>
      </mc:Choice>
      <mc:Fallback>
        <oleObject progId="Equation.3" shapeId="1425294" r:id="rId4"/>
      </mc:Fallback>
    </mc:AlternateContent>
  </oleObjects>
  <mc:AlternateContent xmlns:mc="http://schemas.openxmlformats.org/markup-compatibility/2006">
    <mc:Choice Requires="x14">
      <controls>
        <mc:AlternateContent xmlns:mc="http://schemas.openxmlformats.org/markup-compatibility/2006">
          <mc:Choice Requires="x14">
            <control shapeId="1424424" r:id="rId6" name="Spinner 1064">
              <controlPr defaultSize="0" print="0" autoPict="0">
                <anchor moveWithCells="1" sizeWithCells="1">
                  <from>
                    <xdr:col>3</xdr:col>
                    <xdr:colOff>647700</xdr:colOff>
                    <xdr:row>9</xdr:row>
                    <xdr:rowOff>157843</xdr:rowOff>
                  </from>
                  <to>
                    <xdr:col>4</xdr:col>
                    <xdr:colOff>0</xdr:colOff>
                    <xdr:row>11</xdr:row>
                    <xdr:rowOff>5443</xdr:rowOff>
                  </to>
                </anchor>
              </controlPr>
            </control>
          </mc:Choice>
        </mc:AlternateContent>
        <mc:AlternateContent xmlns:mc="http://schemas.openxmlformats.org/markup-compatibility/2006">
          <mc:Choice Requires="x14">
            <control shapeId="1424589" r:id="rId7" name="Spinner 1229">
              <controlPr defaultSize="0" print="0" autoPict="0">
                <anchor moveWithCells="1" sizeWithCells="1">
                  <from>
                    <xdr:col>1</xdr:col>
                    <xdr:colOff>1181100</xdr:colOff>
                    <xdr:row>43</xdr:row>
                    <xdr:rowOff>10886</xdr:rowOff>
                  </from>
                  <to>
                    <xdr:col>2</xdr:col>
                    <xdr:colOff>0</xdr:colOff>
                    <xdr:row>44</xdr:row>
                    <xdr:rowOff>0</xdr:rowOff>
                  </to>
                </anchor>
              </controlPr>
            </control>
          </mc:Choice>
        </mc:AlternateContent>
        <mc:AlternateContent xmlns:mc="http://schemas.openxmlformats.org/markup-compatibility/2006">
          <mc:Choice Requires="x14">
            <control shapeId="1424590" r:id="rId8" name="Spinner 1230">
              <controlPr defaultSize="0" print="0" autoPict="0">
                <anchor moveWithCells="1" sizeWithCells="1">
                  <from>
                    <xdr:col>1</xdr:col>
                    <xdr:colOff>1181100</xdr:colOff>
                    <xdr:row>45</xdr:row>
                    <xdr:rowOff>10886</xdr:rowOff>
                  </from>
                  <to>
                    <xdr:col>2</xdr:col>
                    <xdr:colOff>0</xdr:colOff>
                    <xdr:row>46</xdr:row>
                    <xdr:rowOff>0</xdr:rowOff>
                  </to>
                </anchor>
              </controlPr>
            </control>
          </mc:Choice>
        </mc:AlternateContent>
        <mc:AlternateContent xmlns:mc="http://schemas.openxmlformats.org/markup-compatibility/2006">
          <mc:Choice Requires="x14">
            <control shapeId="1424591" r:id="rId9" name="Spinner 1231">
              <controlPr defaultSize="0" print="0" autoPict="0">
                <anchor moveWithCells="1" sizeWithCells="1">
                  <from>
                    <xdr:col>1</xdr:col>
                    <xdr:colOff>1181100</xdr:colOff>
                    <xdr:row>51</xdr:row>
                    <xdr:rowOff>10886</xdr:rowOff>
                  </from>
                  <to>
                    <xdr:col>2</xdr:col>
                    <xdr:colOff>0</xdr:colOff>
                    <xdr:row>52</xdr:row>
                    <xdr:rowOff>0</xdr:rowOff>
                  </to>
                </anchor>
              </controlPr>
            </control>
          </mc:Choice>
        </mc:AlternateContent>
        <mc:AlternateContent xmlns:mc="http://schemas.openxmlformats.org/markup-compatibility/2006">
          <mc:Choice Requires="x14">
            <control shapeId="4779462" r:id="rId10" name="Spinner 4550">
              <controlPr defaultSize="0" print="0" autoPict="0">
                <anchor moveWithCells="1" sizeWithCells="1">
                  <from>
                    <xdr:col>1</xdr:col>
                    <xdr:colOff>1181100</xdr:colOff>
                    <xdr:row>53</xdr:row>
                    <xdr:rowOff>10886</xdr:rowOff>
                  </from>
                  <to>
                    <xdr:col>2</xdr:col>
                    <xdr:colOff>0</xdr:colOff>
                    <xdr:row>54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B75:B146"/>
  <sheetViews>
    <sheetView showGridLines="0" zoomScaleNormal="100" workbookViewId="0">
      <selection activeCell="M48" sqref="M48"/>
    </sheetView>
  </sheetViews>
  <sheetFormatPr baseColWidth="10" defaultRowHeight="12.45" x14ac:dyDescent="0.3"/>
  <sheetData>
    <row r="75" spans="2:2" x14ac:dyDescent="0.3">
      <c r="B75" t="s">
        <v>43</v>
      </c>
    </row>
    <row r="76" spans="2:2" x14ac:dyDescent="0.3">
      <c r="B76" t="str">
        <f>IF(Lang="Français","Ces courbes représentent la trajectoire de la fusée dans l'hypothèse d'une descente balistique (sans ouverture du parachute). ","These curves show the rocket trajectory in case of ballistic fall (without parachute).")</f>
        <v xml:space="preserve">Ces courbes représentent la trajectoire de la fusée dans l'hypothèse d'une descente balistique (sans ouverture du parachute). </v>
      </c>
    </row>
    <row r="77" spans="2:2" x14ac:dyDescent="0.3">
      <c r="B77" t="str">
        <f>IF(Lang="Français","L'accélération longitudinale gravitationnelle définit le mouvement (dérivée de la vitesse) : Acc = (Poussee - Traînée ± Poids) / m",IF(Lang="English","Longitudinal Gravitaionnal Acceleration defines the motion (velocity derivative) : Acc = (Thrust - Drag ± Weight)/m",""))</f>
        <v>L'accélération longitudinale gravitationnelle définit le mouvement (dérivée de la vitesse) : Acc = (Poussee - Traînée ± Poids) / m</v>
      </c>
    </row>
    <row r="78" spans="2:2" x14ac:dyDescent="0.3">
      <c r="B78" t="str">
        <f>IF(Lang="Français","La charge ''non-gravitationnelle'' vue par un capteur d'accélération (masse-ressort) est : Charge = (Poussée - Traînée) / m",IF(Lang="English","''Non-Gravitaionnal'' Load seen by an acceleration sensor (mass-spring) is : Load = (Thrust - Drag) / m",""))</f>
        <v>La charge ''non-gravitationnelle'' vue par un capteur d'accélération (masse-ressort) est : Charge = (Poussée - Traînée) / m</v>
      </c>
    </row>
    <row r="79" spans="2:2" x14ac:dyDescent="0.3">
      <c r="B79" t="str">
        <f>IF(Lang="Français","Exemples : Si Poussée = Poids, Vitesse constante, Acc nulle, Charge = 1G ; En chute libre, Acc = -1G, Charge = 0",IF(Lang="English","",""))</f>
        <v>Exemples : Si Poussée = Poids, Vitesse constante, Acc nulle, Charge = 1G ; En chute libre, Acc = -1G, Charge = 0</v>
      </c>
    </row>
    <row r="131" spans="2:2" x14ac:dyDescent="0.3">
      <c r="B131" s="24" t="str">
        <f>IF(Lang="Français","Textes pour les graphiques :","Texts for graphics :")</f>
        <v>Textes pour les graphiques :</v>
      </c>
    </row>
    <row r="133" spans="2:2" x14ac:dyDescent="0.3">
      <c r="B133" t="str">
        <f>IF(Lang="Français","Traînée",IF(Lang="English","Drag",""))</f>
        <v>Traînée</v>
      </c>
    </row>
    <row r="134" spans="2:2" x14ac:dyDescent="0.3">
      <c r="B134" t="str">
        <f>IF(Lang="Français","Poussée",IF(Lang="English","Thrust",""))</f>
        <v>Poussée</v>
      </c>
    </row>
    <row r="135" spans="2:2" x14ac:dyDescent="0.3">
      <c r="B135" t="str">
        <f>IF(Lang="Français","Poids",IF(Lang="English","Weight",""))</f>
        <v>Poids</v>
      </c>
    </row>
    <row r="137" spans="2:2" x14ac:dyDescent="0.3">
      <c r="B137" t="str">
        <f>IF(Lang="Français","Accélération longitudinale",IF(Lang="English","Longitudinal Acceleration",""))</f>
        <v>Accélération longitudinale</v>
      </c>
    </row>
    <row r="138" spans="2:2" x14ac:dyDescent="0.3">
      <c r="B138" t="str">
        <f>IF(Lang="Français","Charge vue par un capteur",IF(Lang="English","Load seen by a sensor",""))</f>
        <v>Charge vue par un capteur</v>
      </c>
    </row>
    <row r="140" spans="2:2" x14ac:dyDescent="0.3">
      <c r="B140" t="str">
        <f>IF(Lang="Français","Vitesse",IF(Lang="English","Velocity",""))</f>
        <v>Vitesse</v>
      </c>
    </row>
    <row r="141" spans="2:2" x14ac:dyDescent="0.3">
      <c r="B141" t="str">
        <f>IF(Lang="Français","Vitesse [m/s]",IF(Lang="English","Velocity [m/s]",""))</f>
        <v>Vitesse [m/s]</v>
      </c>
    </row>
    <row r="143" spans="2:2" x14ac:dyDescent="0.3">
      <c r="B143" t="s">
        <v>6</v>
      </c>
    </row>
    <row r="144" spans="2:2" x14ac:dyDescent="0.3">
      <c r="B144" t="str">
        <f>IF(Lang="Français","Portée",IF(Lang="English","Range",""))</f>
        <v>Portée</v>
      </c>
    </row>
    <row r="146" spans="2:2" x14ac:dyDescent="0.3">
      <c r="B146" t="str">
        <f>IF(Lang="Français","Temps [s]",IF(Lang="English","Time [s]",""))</f>
        <v>Temps [s]</v>
      </c>
    </row>
  </sheetData>
  <sheetProtection password="C6AC" sheet="1"/>
  <phoneticPr fontId="8" type="noConversion"/>
  <printOptions horizontalCentered="1" verticalCentered="1"/>
  <pageMargins left="0.39370078740157483" right="0.39370078740157483" top="0.39370078740157483" bottom="0.39370078740157483" header="0" footer="0"/>
  <pageSetup scale="76" firstPageNumber="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Z346"/>
  <sheetViews>
    <sheetView showGridLines="0" zoomScale="80" zoomScaleNormal="80" workbookViewId="0">
      <selection activeCell="P11" sqref="P11"/>
    </sheetView>
  </sheetViews>
  <sheetFormatPr baseColWidth="10" defaultRowHeight="12.45" x14ac:dyDescent="0.3"/>
  <cols>
    <col min="1" max="1" width="22.61328125" bestFit="1" customWidth="1"/>
  </cols>
  <sheetData>
    <row r="1" spans="1:26" ht="12.9" thickBot="1" x14ac:dyDescent="0.35">
      <c r="A1" s="362" t="str">
        <f>IF(Lang="Français","Moteur sélectionné","Selected motor")</f>
        <v>Moteur sélectionné</v>
      </c>
      <c r="B1" s="362" t="s">
        <v>32</v>
      </c>
    </row>
    <row r="2" spans="1:26" ht="12.9" thickBot="1" x14ac:dyDescent="0.35">
      <c r="A2" s="352" t="str">
        <f>Propu</f>
        <v>p29-1G 57F59</v>
      </c>
      <c r="B2" s="352">
        <f>VLOOKUP(A2,A26:B314,2,FALSE)</f>
        <v>158</v>
      </c>
      <c r="C2" s="363" t="s">
        <v>115</v>
      </c>
      <c r="D2" s="353">
        <f ca="1">INDIRECT(ADDRESS(B2,4))</f>
        <v>57.190000000000005</v>
      </c>
      <c r="E2" s="363" t="s">
        <v>114</v>
      </c>
      <c r="F2" s="354">
        <f ca="1">INDIRECT(ADDRESS(B2,6))</f>
        <v>188.05695307618953</v>
      </c>
      <c r="G2" s="363" t="s">
        <v>56</v>
      </c>
      <c r="H2" s="355">
        <f ca="1">INDIRECT(ADDRESS(B2,8))</f>
        <v>9.9000000000000005E-2</v>
      </c>
      <c r="I2" s="363" t="s">
        <v>275</v>
      </c>
      <c r="J2" s="356">
        <f ca="1">INDIRECT(ADDRESS(B2,10))</f>
        <v>3.1E-2</v>
      </c>
      <c r="K2" s="363" t="s">
        <v>58</v>
      </c>
      <c r="L2" s="355">
        <f ca="1">INDIRECT(ADDRESS(B2,12))</f>
        <v>6.8000000000000005E-2</v>
      </c>
      <c r="M2" s="363" t="s">
        <v>57</v>
      </c>
      <c r="N2" s="357">
        <f ca="1">INDIRECT(ADDRESS(B2,14))</f>
        <v>49</v>
      </c>
      <c r="O2" s="363" t="s">
        <v>59</v>
      </c>
      <c r="P2" s="357">
        <f ca="1">INDIRECT(ADDRESS(B2,16))</f>
        <v>49</v>
      </c>
      <c r="Q2" s="363" t="s">
        <v>60</v>
      </c>
      <c r="R2" s="357">
        <f ca="1">INDIRECT(ADDRESS(B2,18))</f>
        <v>98</v>
      </c>
      <c r="S2" s="363" t="s">
        <v>61</v>
      </c>
      <c r="T2" s="357">
        <f ca="1">INDIRECT(ADDRESS(B2,20))</f>
        <v>29</v>
      </c>
      <c r="U2" s="363" t="s">
        <v>54</v>
      </c>
      <c r="V2" s="358" t="str">
        <f ca="1">INDIRECT(ADDRESS(B2,22))</f>
        <v>MiniRN</v>
      </c>
      <c r="W2" s="463" t="s">
        <v>396</v>
      </c>
      <c r="X2" s="464">
        <f ca="1">INDIRECT(ADDRESS(B2,24))</f>
        <v>0.96</v>
      </c>
      <c r="Y2" s="463" t="s">
        <v>395</v>
      </c>
      <c r="Z2" s="358">
        <f ca="1">INDIRECT(ADDRESS(B2,26))</f>
        <v>12</v>
      </c>
    </row>
    <row r="3" spans="1:26" x14ac:dyDescent="0.3">
      <c r="A3" s="362" t="str">
        <f>IF(Lang="Français","Temps (en s)","Time (s)")</f>
        <v>Temps (en s)</v>
      </c>
      <c r="B3" s="364">
        <f t="shared" ref="B3:Y3" ca="1" si="0">INDIRECT(ADDRESS($B2+1,COLUMN(B3)))</f>
        <v>0</v>
      </c>
      <c r="C3" s="365">
        <f t="shared" ca="1" si="0"/>
        <v>0.01</v>
      </c>
      <c r="D3" s="365">
        <f t="shared" ca="1" si="0"/>
        <v>0.02</v>
      </c>
      <c r="E3" s="365">
        <f t="shared" ca="1" si="0"/>
        <v>0.03</v>
      </c>
      <c r="F3" s="365">
        <f t="shared" ca="1" si="0"/>
        <v>0.04</v>
      </c>
      <c r="G3" s="365">
        <f t="shared" ca="1" si="0"/>
        <v>7.0000000000000007E-2</v>
      </c>
      <c r="H3" s="365">
        <f t="shared" ca="1" si="0"/>
        <v>0.1</v>
      </c>
      <c r="I3" s="365">
        <f t="shared" ca="1" si="0"/>
        <v>0.2</v>
      </c>
      <c r="J3" s="365">
        <f t="shared" ca="1" si="0"/>
        <v>0.3</v>
      </c>
      <c r="K3" s="365">
        <f t="shared" ca="1" si="0"/>
        <v>0.4</v>
      </c>
      <c r="L3" s="365">
        <f t="shared" ca="1" si="0"/>
        <v>0.5</v>
      </c>
      <c r="M3" s="365">
        <f t="shared" ca="1" si="0"/>
        <v>0.6</v>
      </c>
      <c r="N3" s="365">
        <f t="shared" ca="1" si="0"/>
        <v>0.7</v>
      </c>
      <c r="O3" s="365">
        <f t="shared" ca="1" si="0"/>
        <v>0.87</v>
      </c>
      <c r="P3" s="365">
        <f t="shared" ca="1" si="0"/>
        <v>0.9</v>
      </c>
      <c r="Q3" s="365">
        <f t="shared" ca="1" si="0"/>
        <v>0.97</v>
      </c>
      <c r="R3" s="365">
        <f t="shared" ca="1" si="0"/>
        <v>0.97</v>
      </c>
      <c r="S3" s="365">
        <f t="shared" ca="1" si="0"/>
        <v>0.97</v>
      </c>
      <c r="T3" s="365">
        <f t="shared" ca="1" si="0"/>
        <v>0.97</v>
      </c>
      <c r="U3" s="365">
        <f t="shared" ca="1" si="0"/>
        <v>0.97</v>
      </c>
      <c r="V3" s="365">
        <f t="shared" ca="1" si="0"/>
        <v>0.97</v>
      </c>
      <c r="W3" s="365">
        <f t="shared" ca="1" si="0"/>
        <v>0.97</v>
      </c>
      <c r="X3" s="365">
        <f ca="1">INDIRECT(ADDRESS($B2+1,COLUMN(X3)))</f>
        <v>2</v>
      </c>
      <c r="Y3" s="366">
        <f t="shared" ca="1" si="0"/>
        <v>1000</v>
      </c>
    </row>
    <row r="4" spans="1:26" ht="12.9" thickBot="1" x14ac:dyDescent="0.35">
      <c r="A4" s="379" t="str">
        <f>IF(Lang="Français","Poussée (en N)","Thrust (N)")</f>
        <v>Poussée (en N)</v>
      </c>
      <c r="B4" s="367">
        <f t="shared" ref="B4:Y4" ca="1" si="1">INDIRECT(ADDRESS($B2+2,COLUMN(B3)))</f>
        <v>0</v>
      </c>
      <c r="C4" s="368">
        <f t="shared" ca="1" si="1"/>
        <v>16</v>
      </c>
      <c r="D4" s="368">
        <f t="shared" ca="1" si="1"/>
        <v>62</v>
      </c>
      <c r="E4" s="368">
        <f t="shared" ca="1" si="1"/>
        <v>67</v>
      </c>
      <c r="F4" s="368">
        <f t="shared" ca="1" si="1"/>
        <v>71</v>
      </c>
      <c r="G4" s="368">
        <f t="shared" ca="1" si="1"/>
        <v>58</v>
      </c>
      <c r="H4" s="368">
        <f t="shared" ca="1" si="1"/>
        <v>63</v>
      </c>
      <c r="I4" s="368">
        <f t="shared" ca="1" si="1"/>
        <v>67</v>
      </c>
      <c r="J4" s="368">
        <f t="shared" ca="1" si="1"/>
        <v>69</v>
      </c>
      <c r="K4" s="368">
        <f t="shared" ca="1" si="1"/>
        <v>67</v>
      </c>
      <c r="L4" s="368">
        <f t="shared" ca="1" si="1"/>
        <v>65</v>
      </c>
      <c r="M4" s="368">
        <f t="shared" ca="1" si="1"/>
        <v>63</v>
      </c>
      <c r="N4" s="368">
        <f t="shared" ca="1" si="1"/>
        <v>61</v>
      </c>
      <c r="O4" s="368">
        <f t="shared" ca="1" si="1"/>
        <v>60</v>
      </c>
      <c r="P4" s="368">
        <f t="shared" ca="1" si="1"/>
        <v>23</v>
      </c>
      <c r="Q4" s="368">
        <f t="shared" ca="1" si="1"/>
        <v>0</v>
      </c>
      <c r="R4" s="368">
        <f t="shared" ca="1" si="1"/>
        <v>0</v>
      </c>
      <c r="S4" s="368">
        <f t="shared" ca="1" si="1"/>
        <v>0</v>
      </c>
      <c r="T4" s="368">
        <f t="shared" ca="1" si="1"/>
        <v>0</v>
      </c>
      <c r="U4" s="368">
        <f t="shared" ca="1" si="1"/>
        <v>0</v>
      </c>
      <c r="V4" s="368">
        <f t="shared" ca="1" si="1"/>
        <v>0</v>
      </c>
      <c r="W4" s="368">
        <f t="shared" ca="1" si="1"/>
        <v>0</v>
      </c>
      <c r="X4" s="368">
        <f ca="1">INDIRECT(ADDRESS($B2+2,COLUMN(X3)))</f>
        <v>0</v>
      </c>
      <c r="Y4" s="369">
        <f t="shared" ca="1" si="1"/>
        <v>0</v>
      </c>
    </row>
    <row r="5" spans="1:26" x14ac:dyDescent="0.3">
      <c r="B5" s="12"/>
      <c r="C5" s="12"/>
      <c r="D5" s="12"/>
      <c r="E5" s="12"/>
      <c r="F5" s="12"/>
      <c r="G5" s="12"/>
      <c r="H5" s="12"/>
      <c r="I5" s="12"/>
      <c r="J5" s="12"/>
      <c r="K5" s="12"/>
      <c r="L5" s="12"/>
      <c r="M5" s="12"/>
      <c r="N5" s="12"/>
      <c r="O5" s="12"/>
      <c r="P5" s="12"/>
      <c r="Q5" s="12"/>
      <c r="R5" s="12"/>
      <c r="S5" s="12"/>
      <c r="T5" s="12"/>
      <c r="U5" s="12"/>
      <c r="V5" s="12"/>
      <c r="W5" s="12"/>
      <c r="X5" s="12"/>
      <c r="Y5" s="12"/>
    </row>
    <row r="6" spans="1:26" x14ac:dyDescent="0.3">
      <c r="B6" s="12"/>
      <c r="C6" s="12"/>
      <c r="D6" s="12"/>
      <c r="E6" s="12"/>
      <c r="F6" s="12"/>
      <c r="G6" s="12"/>
      <c r="H6" s="12"/>
      <c r="I6" s="12"/>
      <c r="J6" s="12"/>
      <c r="K6" s="12"/>
      <c r="L6" s="12"/>
      <c r="M6" s="12"/>
      <c r="N6" s="12"/>
      <c r="O6" s="12"/>
      <c r="P6" s="12"/>
      <c r="Q6" s="12"/>
      <c r="R6" s="12"/>
      <c r="S6" s="12"/>
      <c r="T6" s="12"/>
      <c r="U6" s="12"/>
      <c r="V6" s="12"/>
      <c r="W6" s="12"/>
      <c r="X6" s="12"/>
      <c r="Y6" s="12"/>
    </row>
    <row r="7" spans="1:26" x14ac:dyDescent="0.3">
      <c r="B7" s="12"/>
      <c r="C7" s="12"/>
      <c r="D7" s="12"/>
      <c r="E7" s="12"/>
      <c r="F7" s="12"/>
      <c r="G7" s="12"/>
      <c r="H7" s="12"/>
      <c r="I7" s="12"/>
      <c r="J7" s="12"/>
      <c r="K7" s="12"/>
      <c r="L7" s="12"/>
      <c r="M7" s="12"/>
    </row>
    <row r="8" spans="1:26" x14ac:dyDescent="0.3">
      <c r="B8" s="12"/>
      <c r="C8" s="12"/>
      <c r="D8" s="12"/>
      <c r="E8" s="12"/>
      <c r="F8" s="12"/>
      <c r="G8" s="12"/>
      <c r="H8" s="12"/>
      <c r="I8" s="12"/>
      <c r="J8" s="12"/>
      <c r="K8" s="12"/>
      <c r="L8" s="12"/>
      <c r="M8" s="12"/>
    </row>
    <row r="9" spans="1:26" x14ac:dyDescent="0.3">
      <c r="B9" s="12"/>
      <c r="C9" s="12"/>
      <c r="D9" s="12"/>
      <c r="E9" s="12"/>
      <c r="F9" s="12"/>
      <c r="G9" s="12"/>
      <c r="H9" s="12"/>
      <c r="I9" s="12"/>
      <c r="J9" s="12"/>
      <c r="K9" s="12"/>
      <c r="L9" s="12"/>
      <c r="M9" s="12"/>
    </row>
    <row r="10" spans="1:26" x14ac:dyDescent="0.3">
      <c r="B10" s="12"/>
      <c r="C10" s="12"/>
      <c r="D10" s="12"/>
      <c r="E10" s="12"/>
      <c r="F10" s="12"/>
      <c r="G10" s="12"/>
      <c r="H10" s="12"/>
      <c r="I10" s="12"/>
      <c r="J10" s="12"/>
    </row>
    <row r="11" spans="1:26" x14ac:dyDescent="0.3">
      <c r="B11" s="12"/>
      <c r="C11" s="12"/>
      <c r="D11" s="12"/>
      <c r="E11" s="12"/>
      <c r="F11" s="12"/>
      <c r="G11" s="12"/>
      <c r="H11" s="12"/>
      <c r="I11" s="12"/>
      <c r="J11" s="12"/>
    </row>
    <row r="12" spans="1:26" x14ac:dyDescent="0.3">
      <c r="B12" s="12"/>
      <c r="C12" s="12"/>
      <c r="D12" s="12"/>
      <c r="E12" s="12"/>
      <c r="F12" s="12"/>
      <c r="G12" s="12"/>
      <c r="H12" s="12"/>
      <c r="I12" s="12"/>
      <c r="J12" s="12"/>
    </row>
    <row r="13" spans="1:26" x14ac:dyDescent="0.3">
      <c r="B13" s="12"/>
      <c r="C13" s="12"/>
      <c r="D13" s="12"/>
      <c r="E13" s="12"/>
      <c r="F13" s="12"/>
      <c r="G13" s="12"/>
      <c r="H13" s="12"/>
      <c r="I13" s="12"/>
      <c r="J13" s="12"/>
    </row>
    <row r="14" spans="1:26" x14ac:dyDescent="0.3">
      <c r="B14" s="12"/>
      <c r="C14" s="12"/>
      <c r="D14" s="12"/>
      <c r="E14" s="12"/>
      <c r="F14" s="12"/>
      <c r="G14" s="12"/>
      <c r="H14" s="12"/>
      <c r="I14" s="12"/>
      <c r="J14" s="12"/>
    </row>
    <row r="15" spans="1:26" x14ac:dyDescent="0.3">
      <c r="B15" s="12"/>
      <c r="C15" s="12"/>
      <c r="D15" s="12"/>
      <c r="E15" s="12"/>
      <c r="F15" s="12"/>
      <c r="G15" s="12"/>
      <c r="H15" s="12"/>
      <c r="I15" s="12"/>
      <c r="J15" s="12"/>
      <c r="K15" s="12"/>
      <c r="L15" s="12"/>
      <c r="M15" s="12"/>
    </row>
    <row r="16" spans="1:26" x14ac:dyDescent="0.3">
      <c r="B16" s="12"/>
      <c r="C16" s="12"/>
      <c r="D16" s="12"/>
      <c r="E16" s="12"/>
      <c r="F16" s="12"/>
      <c r="G16" s="12"/>
      <c r="H16" s="12"/>
      <c r="I16" s="12"/>
      <c r="J16" s="12"/>
      <c r="K16" s="12"/>
      <c r="L16" s="12"/>
      <c r="M16" s="12"/>
    </row>
    <row r="17" spans="1:25" x14ac:dyDescent="0.3">
      <c r="B17" s="12"/>
      <c r="C17" s="12"/>
      <c r="D17" s="12"/>
      <c r="E17" s="12"/>
      <c r="F17" s="12"/>
      <c r="G17" s="12"/>
      <c r="H17" s="12"/>
      <c r="I17" s="12"/>
      <c r="J17" s="12"/>
      <c r="K17" s="12"/>
      <c r="L17" s="12"/>
      <c r="M17" s="12"/>
    </row>
    <row r="18" spans="1:25" x14ac:dyDescent="0.3">
      <c r="B18" s="12"/>
      <c r="C18" s="12"/>
      <c r="D18" s="12"/>
      <c r="E18" s="12"/>
      <c r="F18" s="12"/>
      <c r="G18" s="12"/>
      <c r="H18" s="12"/>
      <c r="I18" s="12"/>
      <c r="J18" s="12"/>
      <c r="K18" s="12"/>
      <c r="L18" s="12"/>
      <c r="M18" s="12"/>
      <c r="N18" s="12"/>
      <c r="O18" s="12"/>
      <c r="P18" s="12"/>
      <c r="Q18" s="12"/>
      <c r="R18" s="12"/>
      <c r="S18" s="12"/>
      <c r="T18" s="12"/>
      <c r="U18" s="12"/>
      <c r="V18" s="12"/>
      <c r="W18" s="12"/>
      <c r="X18" s="12"/>
      <c r="Y18" s="12"/>
    </row>
    <row r="19" spans="1:25" x14ac:dyDescent="0.3">
      <c r="B19" s="12"/>
      <c r="C19" s="12"/>
      <c r="D19" s="12"/>
      <c r="E19" s="12"/>
      <c r="F19" s="12"/>
      <c r="G19" s="12"/>
      <c r="H19" s="12"/>
      <c r="I19" s="12"/>
      <c r="J19" s="12"/>
      <c r="K19" s="12"/>
      <c r="L19" s="12"/>
      <c r="M19" s="12"/>
      <c r="N19" s="12"/>
      <c r="O19" s="12"/>
      <c r="P19" s="12"/>
      <c r="Q19" s="12"/>
      <c r="R19" s="12"/>
      <c r="S19" s="12"/>
      <c r="T19" s="12"/>
      <c r="U19" s="12"/>
      <c r="V19" s="12"/>
      <c r="W19" s="12"/>
      <c r="X19" s="12"/>
      <c r="Y19" s="12"/>
    </row>
    <row r="20" spans="1:25" x14ac:dyDescent="0.3">
      <c r="B20" s="12"/>
      <c r="C20" s="12"/>
      <c r="D20" s="12"/>
      <c r="E20" s="12"/>
      <c r="F20" s="12"/>
      <c r="G20" s="12"/>
      <c r="H20" s="12"/>
      <c r="I20" s="12"/>
      <c r="J20" s="12"/>
      <c r="K20" s="12"/>
      <c r="L20" s="12"/>
      <c r="M20" s="12"/>
      <c r="N20" s="12"/>
      <c r="O20" s="12"/>
      <c r="P20" s="12"/>
      <c r="Q20" s="12"/>
      <c r="R20" s="12"/>
      <c r="S20" s="12"/>
      <c r="T20" s="12"/>
      <c r="U20" s="12"/>
      <c r="V20" s="12"/>
      <c r="W20" s="12"/>
      <c r="X20" s="12"/>
      <c r="Y20" s="12"/>
    </row>
    <row r="21" spans="1:25" x14ac:dyDescent="0.3">
      <c r="B21" s="12"/>
      <c r="C21" s="12"/>
      <c r="D21" s="12"/>
      <c r="E21" s="12"/>
      <c r="F21" s="12"/>
      <c r="G21" s="12"/>
      <c r="H21" s="12"/>
      <c r="I21" s="12"/>
      <c r="J21" s="12"/>
      <c r="K21" s="12"/>
      <c r="L21" s="12"/>
      <c r="M21" s="12"/>
      <c r="N21" s="12"/>
      <c r="O21" s="12"/>
      <c r="P21" s="12"/>
      <c r="Q21" s="12"/>
      <c r="R21" s="12"/>
      <c r="S21" s="12"/>
      <c r="T21" s="12"/>
      <c r="U21" s="12"/>
      <c r="V21" s="12"/>
      <c r="W21" s="12"/>
      <c r="X21" s="12"/>
      <c r="Y21" s="12"/>
    </row>
    <row r="22" spans="1:25" x14ac:dyDescent="0.3">
      <c r="B22" s="12"/>
      <c r="C22" s="12"/>
      <c r="D22" s="12"/>
      <c r="E22" s="12"/>
      <c r="F22" s="12"/>
      <c r="G22" s="12"/>
      <c r="H22" s="12"/>
      <c r="I22" s="12"/>
      <c r="J22" s="12"/>
      <c r="K22" s="12"/>
      <c r="L22" s="12"/>
      <c r="M22" s="12"/>
      <c r="N22" s="12"/>
      <c r="O22" s="12"/>
      <c r="P22" s="12"/>
      <c r="Q22" s="12"/>
      <c r="R22" s="12"/>
      <c r="S22" s="12"/>
      <c r="T22" s="12"/>
      <c r="U22" s="12"/>
      <c r="V22" s="12"/>
      <c r="W22" s="12"/>
      <c r="X22" s="12"/>
      <c r="Y22" s="12"/>
    </row>
    <row r="23" spans="1:25" x14ac:dyDescent="0.3">
      <c r="B23" s="12"/>
      <c r="C23" s="12"/>
      <c r="D23" s="12"/>
      <c r="E23" s="12"/>
      <c r="F23" s="12"/>
      <c r="G23" s="12"/>
      <c r="H23" s="12"/>
      <c r="I23" s="12"/>
      <c r="J23" s="12"/>
      <c r="K23" s="12"/>
      <c r="L23" s="12"/>
      <c r="M23" s="12"/>
      <c r="N23" s="12"/>
      <c r="O23" s="12"/>
      <c r="P23" s="12"/>
      <c r="Q23" s="12"/>
      <c r="R23" s="12"/>
      <c r="S23" s="12"/>
      <c r="T23" s="12"/>
      <c r="U23" s="12"/>
      <c r="V23" s="12"/>
      <c r="W23" s="12"/>
      <c r="X23" s="12"/>
      <c r="Y23" s="12"/>
    </row>
    <row r="25" spans="1:25" ht="12.9" thickBot="1" x14ac:dyDescent="0.35">
      <c r="A25" s="6" t="s">
        <v>278</v>
      </c>
    </row>
    <row r="26" spans="1:25" ht="12.9" thickBot="1" x14ac:dyDescent="0.35">
      <c r="A26" s="361" t="s">
        <v>311</v>
      </c>
      <c r="B26" s="359">
        <f>ROW(A26)</f>
        <v>26</v>
      </c>
      <c r="C26" s="363" t="s">
        <v>115</v>
      </c>
      <c r="D26" s="353">
        <f>SUM(B29:Y29)</f>
        <v>9.8449999999999989</v>
      </c>
      <c r="E26" s="363" t="s">
        <v>114</v>
      </c>
      <c r="F26" s="399">
        <f>D26/g/J26</f>
        <v>3.3452259599048584</v>
      </c>
      <c r="G26" s="363" t="s">
        <v>56</v>
      </c>
      <c r="H26" s="64">
        <v>0.3</v>
      </c>
      <c r="I26" s="363" t="s">
        <v>273</v>
      </c>
      <c r="J26" s="355">
        <f>H26-L26</f>
        <v>0.3</v>
      </c>
      <c r="K26" s="363" t="s">
        <v>274</v>
      </c>
      <c r="L26" s="64">
        <v>0</v>
      </c>
      <c r="M26" s="363" t="s">
        <v>57</v>
      </c>
      <c r="N26" s="65">
        <f>0.2*R26</f>
        <v>60</v>
      </c>
      <c r="O26" s="363" t="s">
        <v>59</v>
      </c>
      <c r="P26" s="65">
        <v>150</v>
      </c>
      <c r="Q26" s="363" t="s">
        <v>60</v>
      </c>
      <c r="R26" s="65">
        <v>300</v>
      </c>
      <c r="S26" s="363" t="s">
        <v>61</v>
      </c>
      <c r="T26" s="65">
        <v>90</v>
      </c>
      <c r="U26" s="363" t="s">
        <v>54</v>
      </c>
      <c r="V26" s="66" t="s">
        <v>278</v>
      </c>
      <c r="W26" s="12"/>
      <c r="X26" s="12"/>
      <c r="Y26" s="12"/>
    </row>
    <row r="27" spans="1:25" x14ac:dyDescent="0.3">
      <c r="A27" s="362" t="s">
        <v>33</v>
      </c>
      <c r="B27" s="370">
        <v>0</v>
      </c>
      <c r="C27" s="371">
        <v>1E-3</v>
      </c>
      <c r="D27" s="371">
        <v>0.02</v>
      </c>
      <c r="E27" s="371">
        <v>3.7999999999999999E-2</v>
      </c>
      <c r="F27" s="371">
        <v>0.04</v>
      </c>
      <c r="G27" s="371">
        <v>0.04</v>
      </c>
      <c r="H27" s="371">
        <v>0.04</v>
      </c>
      <c r="I27" s="371">
        <v>0.04</v>
      </c>
      <c r="J27" s="371">
        <v>0.04</v>
      </c>
      <c r="K27" s="371">
        <v>0.04</v>
      </c>
      <c r="L27" s="371">
        <v>0.04</v>
      </c>
      <c r="M27" s="371">
        <v>0.04</v>
      </c>
      <c r="N27" s="371">
        <v>0.04</v>
      </c>
      <c r="O27" s="371">
        <v>0.04</v>
      </c>
      <c r="P27" s="371">
        <v>0.04</v>
      </c>
      <c r="Q27" s="371">
        <v>0.04</v>
      </c>
      <c r="R27" s="371">
        <v>0.04</v>
      </c>
      <c r="S27" s="371">
        <v>0.04</v>
      </c>
      <c r="T27" s="371">
        <v>0.04</v>
      </c>
      <c r="U27" s="371">
        <v>0.04</v>
      </c>
      <c r="V27" s="371">
        <v>0.04</v>
      </c>
      <c r="W27" s="371">
        <v>0.04</v>
      </c>
      <c r="X27" s="371">
        <v>0.04</v>
      </c>
      <c r="Y27" s="381">
        <v>1000</v>
      </c>
    </row>
    <row r="28" spans="1:25" x14ac:dyDescent="0.3">
      <c r="A28" s="378" t="s">
        <v>34</v>
      </c>
      <c r="B28" s="372">
        <v>0</v>
      </c>
      <c r="C28" s="373">
        <v>310</v>
      </c>
      <c r="D28" s="373">
        <v>250</v>
      </c>
      <c r="E28" s="373">
        <v>212</v>
      </c>
      <c r="F28" s="373">
        <v>0</v>
      </c>
      <c r="G28" s="373">
        <v>0</v>
      </c>
      <c r="H28" s="373">
        <v>0</v>
      </c>
      <c r="I28" s="373">
        <v>0</v>
      </c>
      <c r="J28" s="373">
        <v>0</v>
      </c>
      <c r="K28" s="373">
        <v>0</v>
      </c>
      <c r="L28" s="373">
        <v>0</v>
      </c>
      <c r="M28" s="373">
        <v>0</v>
      </c>
      <c r="N28" s="373">
        <v>0</v>
      </c>
      <c r="O28" s="373">
        <v>0</v>
      </c>
      <c r="P28" s="373">
        <v>0</v>
      </c>
      <c r="Q28" s="373">
        <v>0</v>
      </c>
      <c r="R28" s="373">
        <v>0</v>
      </c>
      <c r="S28" s="373">
        <v>0</v>
      </c>
      <c r="T28" s="373">
        <v>0</v>
      </c>
      <c r="U28" s="373">
        <v>0</v>
      </c>
      <c r="V28" s="373">
        <v>0</v>
      </c>
      <c r="W28" s="373">
        <v>0</v>
      </c>
      <c r="X28" s="373">
        <v>0</v>
      </c>
      <c r="Y28" s="382">
        <v>0</v>
      </c>
    </row>
    <row r="29" spans="1:25" ht="12.9" thickBot="1" x14ac:dyDescent="0.35">
      <c r="A29" s="379" t="s">
        <v>116</v>
      </c>
      <c r="B29" s="374">
        <f t="shared" ref="B29:X29" si="2">(C28+B28)*(C27-B27)/2</f>
        <v>0.155</v>
      </c>
      <c r="C29" s="375">
        <f t="shared" si="2"/>
        <v>5.32</v>
      </c>
      <c r="D29" s="375">
        <f t="shared" si="2"/>
        <v>4.1579999999999995</v>
      </c>
      <c r="E29" s="375">
        <f t="shared" si="2"/>
        <v>0.21200000000000019</v>
      </c>
      <c r="F29" s="375">
        <f t="shared" si="2"/>
        <v>0</v>
      </c>
      <c r="G29" s="375">
        <f t="shared" si="2"/>
        <v>0</v>
      </c>
      <c r="H29" s="375">
        <f t="shared" si="2"/>
        <v>0</v>
      </c>
      <c r="I29" s="375">
        <f t="shared" si="2"/>
        <v>0</v>
      </c>
      <c r="J29" s="375">
        <f t="shared" si="2"/>
        <v>0</v>
      </c>
      <c r="K29" s="375">
        <f t="shared" si="2"/>
        <v>0</v>
      </c>
      <c r="L29" s="375">
        <f t="shared" si="2"/>
        <v>0</v>
      </c>
      <c r="M29" s="375">
        <f t="shared" si="2"/>
        <v>0</v>
      </c>
      <c r="N29" s="375">
        <f t="shared" si="2"/>
        <v>0</v>
      </c>
      <c r="O29" s="375">
        <f t="shared" si="2"/>
        <v>0</v>
      </c>
      <c r="P29" s="375">
        <f t="shared" si="2"/>
        <v>0</v>
      </c>
      <c r="Q29" s="375">
        <f t="shared" si="2"/>
        <v>0</v>
      </c>
      <c r="R29" s="375">
        <f t="shared" si="2"/>
        <v>0</v>
      </c>
      <c r="S29" s="375">
        <f t="shared" si="2"/>
        <v>0</v>
      </c>
      <c r="T29" s="375">
        <f t="shared" si="2"/>
        <v>0</v>
      </c>
      <c r="U29" s="375">
        <f t="shared" si="2"/>
        <v>0</v>
      </c>
      <c r="V29" s="375">
        <f t="shared" si="2"/>
        <v>0</v>
      </c>
      <c r="W29" s="375">
        <f t="shared" si="2"/>
        <v>0</v>
      </c>
      <c r="X29" s="375">
        <f t="shared" si="2"/>
        <v>0</v>
      </c>
      <c r="Y29" s="369"/>
    </row>
    <row r="30" spans="1:25" ht="12.9" thickBot="1" x14ac:dyDescent="0.35">
      <c r="A30" s="12"/>
      <c r="L30" s="12"/>
      <c r="M30" s="12"/>
      <c r="N30" s="12"/>
      <c r="O30" s="12"/>
      <c r="P30" s="12"/>
      <c r="Q30" s="12"/>
      <c r="R30" s="12"/>
      <c r="S30" s="12"/>
      <c r="T30" s="12"/>
      <c r="U30" s="12"/>
      <c r="V30" s="12"/>
      <c r="W30" s="12"/>
      <c r="X30" s="12"/>
      <c r="Y30" s="12"/>
    </row>
    <row r="31" spans="1:25" ht="12.9" thickBot="1" x14ac:dyDescent="0.35">
      <c r="A31" s="361" t="s">
        <v>312</v>
      </c>
      <c r="B31" s="359">
        <f>ROW(A31)</f>
        <v>31</v>
      </c>
      <c r="C31" s="363" t="s">
        <v>115</v>
      </c>
      <c r="D31" s="353">
        <f>SUM(B34:Y34)</f>
        <v>13.814500000000002</v>
      </c>
      <c r="E31" s="363" t="s">
        <v>114</v>
      </c>
      <c r="F31" s="399">
        <f>D31/g/J31</f>
        <v>3.1293464718541175</v>
      </c>
      <c r="G31" s="363" t="s">
        <v>56</v>
      </c>
      <c r="H31" s="64">
        <v>0.45</v>
      </c>
      <c r="I31" s="363" t="s">
        <v>273</v>
      </c>
      <c r="J31" s="355">
        <f>H31-L31</f>
        <v>0.45</v>
      </c>
      <c r="K31" s="363" t="s">
        <v>274</v>
      </c>
      <c r="L31" s="64">
        <v>0</v>
      </c>
      <c r="M31" s="363" t="s">
        <v>57</v>
      </c>
      <c r="N31" s="65">
        <f>0.3*R31</f>
        <v>90</v>
      </c>
      <c r="O31" s="363" t="s">
        <v>59</v>
      </c>
      <c r="P31" s="65">
        <v>150</v>
      </c>
      <c r="Q31" s="363" t="s">
        <v>60</v>
      </c>
      <c r="R31" s="65">
        <v>300</v>
      </c>
      <c r="S31" s="363" t="s">
        <v>61</v>
      </c>
      <c r="T31" s="65">
        <v>90</v>
      </c>
      <c r="U31" s="363" t="s">
        <v>54</v>
      </c>
      <c r="V31" s="66" t="s">
        <v>278</v>
      </c>
      <c r="W31" s="12"/>
      <c r="X31" s="12"/>
      <c r="Y31" s="12"/>
    </row>
    <row r="32" spans="1:25" x14ac:dyDescent="0.3">
      <c r="A32" s="362" t="s">
        <v>33</v>
      </c>
      <c r="B32" s="370">
        <v>0</v>
      </c>
      <c r="C32" s="371">
        <v>1E-3</v>
      </c>
      <c r="D32" s="371">
        <v>0.02</v>
      </c>
      <c r="E32" s="371">
        <v>0.04</v>
      </c>
      <c r="F32" s="371">
        <v>6.0999999999999999E-2</v>
      </c>
      <c r="G32" s="371">
        <v>6.2E-2</v>
      </c>
      <c r="H32" s="371">
        <v>6.2E-2</v>
      </c>
      <c r="I32" s="371">
        <v>6.2E-2</v>
      </c>
      <c r="J32" s="371">
        <v>6.2E-2</v>
      </c>
      <c r="K32" s="371">
        <v>6.2E-2</v>
      </c>
      <c r="L32" s="371">
        <v>6.2E-2</v>
      </c>
      <c r="M32" s="371">
        <v>6.2E-2</v>
      </c>
      <c r="N32" s="371">
        <v>6.2E-2</v>
      </c>
      <c r="O32" s="371">
        <v>6.2E-2</v>
      </c>
      <c r="P32" s="371">
        <v>6.2E-2</v>
      </c>
      <c r="Q32" s="371">
        <v>6.2E-2</v>
      </c>
      <c r="R32" s="371">
        <v>6.2E-2</v>
      </c>
      <c r="S32" s="371">
        <v>6.2E-2</v>
      </c>
      <c r="T32" s="371">
        <v>6.2E-2</v>
      </c>
      <c r="U32" s="371">
        <v>6.2E-2</v>
      </c>
      <c r="V32" s="371">
        <v>6.2E-2</v>
      </c>
      <c r="W32" s="371">
        <v>6.2E-2</v>
      </c>
      <c r="X32" s="371">
        <v>6.2E-2</v>
      </c>
      <c r="Y32" s="381">
        <v>1000</v>
      </c>
    </row>
    <row r="33" spans="1:25" x14ac:dyDescent="0.3">
      <c r="A33" s="378" t="s">
        <v>34</v>
      </c>
      <c r="B33" s="372">
        <v>0</v>
      </c>
      <c r="C33" s="373">
        <v>310</v>
      </c>
      <c r="D33" s="373">
        <v>245</v>
      </c>
      <c r="E33" s="373">
        <v>200</v>
      </c>
      <c r="F33" s="373">
        <v>167</v>
      </c>
      <c r="G33" s="373">
        <v>0</v>
      </c>
      <c r="H33" s="373">
        <v>0</v>
      </c>
      <c r="I33" s="373">
        <v>0</v>
      </c>
      <c r="J33" s="373">
        <v>0</v>
      </c>
      <c r="K33" s="373">
        <v>0</v>
      </c>
      <c r="L33" s="373">
        <v>0</v>
      </c>
      <c r="M33" s="373">
        <v>0</v>
      </c>
      <c r="N33" s="373">
        <v>0</v>
      </c>
      <c r="O33" s="373">
        <v>0</v>
      </c>
      <c r="P33" s="373">
        <v>0</v>
      </c>
      <c r="Q33" s="373">
        <v>0</v>
      </c>
      <c r="R33" s="373">
        <v>0</v>
      </c>
      <c r="S33" s="373">
        <v>0</v>
      </c>
      <c r="T33" s="373">
        <v>0</v>
      </c>
      <c r="U33" s="373">
        <v>0</v>
      </c>
      <c r="V33" s="373">
        <v>0</v>
      </c>
      <c r="W33" s="373">
        <v>0</v>
      </c>
      <c r="X33" s="373">
        <v>0</v>
      </c>
      <c r="Y33" s="382">
        <v>0</v>
      </c>
    </row>
    <row r="34" spans="1:25" ht="12.9" thickBot="1" x14ac:dyDescent="0.35">
      <c r="A34" s="379" t="s">
        <v>116</v>
      </c>
      <c r="B34" s="374">
        <f t="shared" ref="B34:X34" si="3">(C33+B33)*(C32-B32)/2</f>
        <v>0.155</v>
      </c>
      <c r="C34" s="375">
        <f t="shared" si="3"/>
        <v>5.2725</v>
      </c>
      <c r="D34" s="375">
        <f t="shared" si="3"/>
        <v>4.45</v>
      </c>
      <c r="E34" s="375">
        <f t="shared" si="3"/>
        <v>3.8534999999999995</v>
      </c>
      <c r="F34" s="375">
        <f t="shared" si="3"/>
        <v>8.3500000000000074E-2</v>
      </c>
      <c r="G34" s="375">
        <f t="shared" si="3"/>
        <v>0</v>
      </c>
      <c r="H34" s="375">
        <f t="shared" si="3"/>
        <v>0</v>
      </c>
      <c r="I34" s="375">
        <f t="shared" si="3"/>
        <v>0</v>
      </c>
      <c r="J34" s="375">
        <f t="shared" si="3"/>
        <v>0</v>
      </c>
      <c r="K34" s="375">
        <f t="shared" si="3"/>
        <v>0</v>
      </c>
      <c r="L34" s="375">
        <f t="shared" si="3"/>
        <v>0</v>
      </c>
      <c r="M34" s="375">
        <f t="shared" si="3"/>
        <v>0</v>
      </c>
      <c r="N34" s="375">
        <f t="shared" si="3"/>
        <v>0</v>
      </c>
      <c r="O34" s="375">
        <f t="shared" si="3"/>
        <v>0</v>
      </c>
      <c r="P34" s="375">
        <f t="shared" si="3"/>
        <v>0</v>
      </c>
      <c r="Q34" s="375">
        <f t="shared" si="3"/>
        <v>0</v>
      </c>
      <c r="R34" s="375">
        <f t="shared" si="3"/>
        <v>0</v>
      </c>
      <c r="S34" s="375">
        <f t="shared" si="3"/>
        <v>0</v>
      </c>
      <c r="T34" s="375">
        <f t="shared" si="3"/>
        <v>0</v>
      </c>
      <c r="U34" s="375">
        <f t="shared" si="3"/>
        <v>0</v>
      </c>
      <c r="V34" s="375">
        <f t="shared" si="3"/>
        <v>0</v>
      </c>
      <c r="W34" s="375">
        <f t="shared" si="3"/>
        <v>0</v>
      </c>
      <c r="X34" s="375">
        <f t="shared" si="3"/>
        <v>0</v>
      </c>
      <c r="Y34" s="369"/>
    </row>
    <row r="35" spans="1:25" ht="12.9" thickBot="1" x14ac:dyDescent="0.35">
      <c r="B35" s="12"/>
      <c r="C35" s="12"/>
      <c r="D35" s="12"/>
      <c r="E35" s="12"/>
      <c r="F35" s="12"/>
      <c r="G35" s="12"/>
      <c r="H35" s="12"/>
      <c r="I35" s="12"/>
      <c r="J35" s="12"/>
      <c r="K35" s="12"/>
      <c r="L35" s="12"/>
      <c r="M35" s="12"/>
      <c r="N35" s="12"/>
      <c r="O35" s="12"/>
      <c r="P35" s="12"/>
      <c r="Q35" s="12"/>
      <c r="R35" s="12"/>
      <c r="S35" s="12"/>
      <c r="T35" s="12"/>
      <c r="U35" s="12"/>
      <c r="V35" s="12"/>
      <c r="W35" s="12"/>
      <c r="X35" s="12"/>
      <c r="Y35" s="12"/>
    </row>
    <row r="36" spans="1:25" ht="12.9" thickBot="1" x14ac:dyDescent="0.35">
      <c r="A36" s="361" t="s">
        <v>313</v>
      </c>
      <c r="B36" s="359">
        <f>ROW(A36)</f>
        <v>36</v>
      </c>
      <c r="C36" s="363" t="s">
        <v>115</v>
      </c>
      <c r="D36" s="353">
        <f>SUM(B39:Y39)</f>
        <v>17.144499999999997</v>
      </c>
      <c r="E36" s="363" t="s">
        <v>114</v>
      </c>
      <c r="F36" s="399">
        <f>D36/g/J36</f>
        <v>2.9127590893645934</v>
      </c>
      <c r="G36" s="363" t="s">
        <v>56</v>
      </c>
      <c r="H36" s="64">
        <v>0.6</v>
      </c>
      <c r="I36" s="363" t="s">
        <v>273</v>
      </c>
      <c r="J36" s="355">
        <f>H36-L36</f>
        <v>0.6</v>
      </c>
      <c r="K36" s="363" t="s">
        <v>274</v>
      </c>
      <c r="L36" s="64">
        <v>0</v>
      </c>
      <c r="M36" s="363" t="s">
        <v>57</v>
      </c>
      <c r="N36" s="65">
        <f>0.4*R36</f>
        <v>120</v>
      </c>
      <c r="O36" s="363" t="s">
        <v>59</v>
      </c>
      <c r="P36" s="65">
        <v>150</v>
      </c>
      <c r="Q36" s="363" t="s">
        <v>60</v>
      </c>
      <c r="R36" s="65">
        <v>300</v>
      </c>
      <c r="S36" s="363" t="s">
        <v>61</v>
      </c>
      <c r="T36" s="65">
        <v>90</v>
      </c>
      <c r="U36" s="363" t="s">
        <v>54</v>
      </c>
      <c r="V36" s="66" t="s">
        <v>278</v>
      </c>
      <c r="W36" s="12"/>
      <c r="X36" s="12"/>
      <c r="Y36" s="12"/>
    </row>
    <row r="37" spans="1:25" x14ac:dyDescent="0.3">
      <c r="A37" s="362" t="s">
        <v>33</v>
      </c>
      <c r="B37" s="370">
        <v>0</v>
      </c>
      <c r="C37" s="371">
        <v>1E-3</v>
      </c>
      <c r="D37" s="371">
        <v>0.02</v>
      </c>
      <c r="E37" s="371">
        <v>0.04</v>
      </c>
      <c r="F37" s="371">
        <v>0.06</v>
      </c>
      <c r="G37" s="371">
        <v>0.08</v>
      </c>
      <c r="H37" s="371">
        <v>8.7999999999999995E-2</v>
      </c>
      <c r="I37" s="371">
        <v>8.8999999999999996E-2</v>
      </c>
      <c r="J37" s="371">
        <v>8.8999999999999996E-2</v>
      </c>
      <c r="K37" s="371">
        <v>8.8999999999999996E-2</v>
      </c>
      <c r="L37" s="371">
        <v>8.8999999999999996E-2</v>
      </c>
      <c r="M37" s="371">
        <v>8.8999999999999996E-2</v>
      </c>
      <c r="N37" s="371">
        <v>8.8999999999999996E-2</v>
      </c>
      <c r="O37" s="371">
        <v>8.8999999999999996E-2</v>
      </c>
      <c r="P37" s="371">
        <v>8.8999999999999996E-2</v>
      </c>
      <c r="Q37" s="371">
        <v>8.8999999999999996E-2</v>
      </c>
      <c r="R37" s="371">
        <v>8.8999999999999996E-2</v>
      </c>
      <c r="S37" s="371">
        <v>8.8999999999999996E-2</v>
      </c>
      <c r="T37" s="371">
        <v>8.8999999999999996E-2</v>
      </c>
      <c r="U37" s="371">
        <v>8.8999999999999996E-2</v>
      </c>
      <c r="V37" s="371">
        <v>8.8999999999999996E-2</v>
      </c>
      <c r="W37" s="371">
        <v>8.8999999999999996E-2</v>
      </c>
      <c r="X37" s="371">
        <v>8.8999999999999996E-2</v>
      </c>
      <c r="Y37" s="381">
        <v>1000</v>
      </c>
    </row>
    <row r="38" spans="1:25" x14ac:dyDescent="0.3">
      <c r="A38" s="378" t="s">
        <v>34</v>
      </c>
      <c r="B38" s="372">
        <v>0</v>
      </c>
      <c r="C38" s="373">
        <v>310</v>
      </c>
      <c r="D38" s="373">
        <v>240</v>
      </c>
      <c r="E38" s="373">
        <v>190</v>
      </c>
      <c r="F38" s="373">
        <v>157</v>
      </c>
      <c r="G38" s="373">
        <v>133</v>
      </c>
      <c r="H38" s="373">
        <v>125</v>
      </c>
      <c r="I38" s="373">
        <v>0</v>
      </c>
      <c r="J38" s="373">
        <v>0</v>
      </c>
      <c r="K38" s="373">
        <v>0</v>
      </c>
      <c r="L38" s="373">
        <v>0</v>
      </c>
      <c r="M38" s="373">
        <v>0</v>
      </c>
      <c r="N38" s="373">
        <v>0</v>
      </c>
      <c r="O38" s="373">
        <v>0</v>
      </c>
      <c r="P38" s="373">
        <v>0</v>
      </c>
      <c r="Q38" s="373">
        <v>0</v>
      </c>
      <c r="R38" s="373">
        <v>0</v>
      </c>
      <c r="S38" s="373">
        <v>0</v>
      </c>
      <c r="T38" s="373">
        <v>0</v>
      </c>
      <c r="U38" s="373">
        <v>0</v>
      </c>
      <c r="V38" s="373">
        <v>0</v>
      </c>
      <c r="W38" s="373">
        <v>0</v>
      </c>
      <c r="X38" s="373">
        <v>0</v>
      </c>
      <c r="Y38" s="382">
        <v>0</v>
      </c>
    </row>
    <row r="39" spans="1:25" ht="12.9" thickBot="1" x14ac:dyDescent="0.35">
      <c r="A39" s="379" t="s">
        <v>116</v>
      </c>
      <c r="B39" s="374">
        <f t="shared" ref="B39:X39" si="4">(C38+B38)*(C37-B37)/2</f>
        <v>0.155</v>
      </c>
      <c r="C39" s="375">
        <f t="shared" si="4"/>
        <v>5.2249999999999996</v>
      </c>
      <c r="D39" s="375">
        <f t="shared" si="4"/>
        <v>4.3</v>
      </c>
      <c r="E39" s="375">
        <f t="shared" si="4"/>
        <v>3.4699999999999993</v>
      </c>
      <c r="F39" s="375">
        <f t="shared" si="4"/>
        <v>2.9000000000000004</v>
      </c>
      <c r="G39" s="375">
        <f t="shared" si="4"/>
        <v>1.0319999999999991</v>
      </c>
      <c r="H39" s="375">
        <f t="shared" si="4"/>
        <v>6.2500000000000056E-2</v>
      </c>
      <c r="I39" s="375">
        <f t="shared" si="4"/>
        <v>0</v>
      </c>
      <c r="J39" s="375">
        <f t="shared" si="4"/>
        <v>0</v>
      </c>
      <c r="K39" s="375">
        <f t="shared" si="4"/>
        <v>0</v>
      </c>
      <c r="L39" s="375">
        <f t="shared" si="4"/>
        <v>0</v>
      </c>
      <c r="M39" s="375">
        <f t="shared" si="4"/>
        <v>0</v>
      </c>
      <c r="N39" s="375">
        <f t="shared" si="4"/>
        <v>0</v>
      </c>
      <c r="O39" s="375">
        <f t="shared" si="4"/>
        <v>0</v>
      </c>
      <c r="P39" s="375">
        <f t="shared" si="4"/>
        <v>0</v>
      </c>
      <c r="Q39" s="375">
        <f t="shared" si="4"/>
        <v>0</v>
      </c>
      <c r="R39" s="375">
        <f t="shared" si="4"/>
        <v>0</v>
      </c>
      <c r="S39" s="375">
        <f t="shared" si="4"/>
        <v>0</v>
      </c>
      <c r="T39" s="375">
        <f t="shared" si="4"/>
        <v>0</v>
      </c>
      <c r="U39" s="375">
        <f t="shared" si="4"/>
        <v>0</v>
      </c>
      <c r="V39" s="375">
        <f t="shared" si="4"/>
        <v>0</v>
      </c>
      <c r="W39" s="375">
        <f t="shared" si="4"/>
        <v>0</v>
      </c>
      <c r="X39" s="375">
        <f t="shared" si="4"/>
        <v>0</v>
      </c>
      <c r="Y39" s="369"/>
    </row>
    <row r="40" spans="1:25" ht="12.9" thickBot="1" x14ac:dyDescent="0.35">
      <c r="A40" s="12"/>
      <c r="L40" s="12"/>
      <c r="M40" s="12"/>
      <c r="N40" s="12"/>
      <c r="O40" s="12"/>
      <c r="P40" s="12"/>
      <c r="Q40" s="12"/>
      <c r="R40" s="12"/>
      <c r="S40" s="12"/>
      <c r="T40" s="12"/>
      <c r="U40" s="12"/>
      <c r="V40" s="12"/>
      <c r="W40" s="12"/>
      <c r="X40" s="12"/>
      <c r="Y40" s="12"/>
    </row>
    <row r="41" spans="1:25" ht="12.9" thickBot="1" x14ac:dyDescent="0.35">
      <c r="A41" s="361" t="s">
        <v>314</v>
      </c>
      <c r="B41" s="359">
        <f>ROW(A41)</f>
        <v>41</v>
      </c>
      <c r="C41" s="363" t="s">
        <v>115</v>
      </c>
      <c r="D41" s="353">
        <f>SUM(B44:Y44)</f>
        <v>19.415000000000003</v>
      </c>
      <c r="E41" s="363" t="s">
        <v>114</v>
      </c>
      <c r="F41" s="399">
        <f>D41/g/J41</f>
        <v>2.6388039415562354</v>
      </c>
      <c r="G41" s="363" t="s">
        <v>56</v>
      </c>
      <c r="H41" s="64">
        <v>0.75</v>
      </c>
      <c r="I41" s="363" t="s">
        <v>273</v>
      </c>
      <c r="J41" s="355">
        <f>H41-L41</f>
        <v>0.75</v>
      </c>
      <c r="K41" s="363" t="s">
        <v>274</v>
      </c>
      <c r="L41" s="64">
        <v>0</v>
      </c>
      <c r="M41" s="363" t="s">
        <v>57</v>
      </c>
      <c r="N41" s="65">
        <f>0.5*R41</f>
        <v>150</v>
      </c>
      <c r="O41" s="363" t="s">
        <v>59</v>
      </c>
      <c r="P41" s="65">
        <v>150</v>
      </c>
      <c r="Q41" s="363" t="s">
        <v>60</v>
      </c>
      <c r="R41" s="65">
        <v>300</v>
      </c>
      <c r="S41" s="363" t="s">
        <v>61</v>
      </c>
      <c r="T41" s="65">
        <v>90</v>
      </c>
      <c r="U41" s="363" t="s">
        <v>54</v>
      </c>
      <c r="V41" s="66" t="s">
        <v>278</v>
      </c>
      <c r="W41" s="12"/>
      <c r="X41" s="12"/>
      <c r="Y41" s="12"/>
    </row>
    <row r="42" spans="1:25" x14ac:dyDescent="0.3">
      <c r="A42" s="362" t="s">
        <v>33</v>
      </c>
      <c r="B42" s="370">
        <v>0</v>
      </c>
      <c r="C42" s="371">
        <v>1E-3</v>
      </c>
      <c r="D42" s="371">
        <v>0.02</v>
      </c>
      <c r="E42" s="371">
        <v>0.04</v>
      </c>
      <c r="F42" s="371">
        <v>0.06</v>
      </c>
      <c r="G42" s="371">
        <v>0.08</v>
      </c>
      <c r="H42" s="371">
        <v>0.1</v>
      </c>
      <c r="I42" s="371">
        <v>0.123</v>
      </c>
      <c r="J42" s="371">
        <v>0.124</v>
      </c>
      <c r="K42" s="371">
        <v>0.124</v>
      </c>
      <c r="L42" s="371">
        <v>0.124</v>
      </c>
      <c r="M42" s="371">
        <v>0.124</v>
      </c>
      <c r="N42" s="371">
        <v>0.124</v>
      </c>
      <c r="O42" s="371">
        <v>0.124</v>
      </c>
      <c r="P42" s="371">
        <v>0.124</v>
      </c>
      <c r="Q42" s="371">
        <v>0.124</v>
      </c>
      <c r="R42" s="371">
        <v>0.124</v>
      </c>
      <c r="S42" s="371">
        <v>0.124</v>
      </c>
      <c r="T42" s="371">
        <v>0.124</v>
      </c>
      <c r="U42" s="371">
        <v>0.124</v>
      </c>
      <c r="V42" s="371">
        <v>0.124</v>
      </c>
      <c r="W42" s="371">
        <v>0.124</v>
      </c>
      <c r="X42" s="371">
        <v>0.124</v>
      </c>
      <c r="Y42" s="381">
        <v>1000</v>
      </c>
    </row>
    <row r="43" spans="1:25" x14ac:dyDescent="0.3">
      <c r="A43" s="378" t="s">
        <v>34</v>
      </c>
      <c r="B43" s="372">
        <v>0</v>
      </c>
      <c r="C43" s="373">
        <v>310</v>
      </c>
      <c r="D43" s="373">
        <v>230</v>
      </c>
      <c r="E43" s="373">
        <v>175</v>
      </c>
      <c r="F43" s="373">
        <v>140</v>
      </c>
      <c r="G43" s="373">
        <v>118</v>
      </c>
      <c r="H43" s="373">
        <v>100</v>
      </c>
      <c r="I43" s="373">
        <v>85</v>
      </c>
      <c r="J43" s="373">
        <v>0</v>
      </c>
      <c r="K43" s="373">
        <v>0</v>
      </c>
      <c r="L43" s="373">
        <v>0</v>
      </c>
      <c r="M43" s="373">
        <v>0</v>
      </c>
      <c r="N43" s="373">
        <v>0</v>
      </c>
      <c r="O43" s="373">
        <v>0</v>
      </c>
      <c r="P43" s="373">
        <v>0</v>
      </c>
      <c r="Q43" s="373">
        <v>0</v>
      </c>
      <c r="R43" s="373">
        <v>0</v>
      </c>
      <c r="S43" s="373">
        <v>0</v>
      </c>
      <c r="T43" s="373">
        <v>0</v>
      </c>
      <c r="U43" s="373">
        <v>0</v>
      </c>
      <c r="V43" s="373">
        <v>0</v>
      </c>
      <c r="W43" s="373">
        <v>0</v>
      </c>
      <c r="X43" s="373">
        <v>0</v>
      </c>
      <c r="Y43" s="382">
        <v>0</v>
      </c>
    </row>
    <row r="44" spans="1:25" ht="12.9" thickBot="1" x14ac:dyDescent="0.35">
      <c r="A44" s="379" t="s">
        <v>116</v>
      </c>
      <c r="B44" s="374">
        <f t="shared" ref="B44:X44" si="5">(C43+B43)*(C42-B42)/2</f>
        <v>0.155</v>
      </c>
      <c r="C44" s="375">
        <f t="shared" si="5"/>
        <v>5.13</v>
      </c>
      <c r="D44" s="375">
        <f t="shared" si="5"/>
        <v>4.05</v>
      </c>
      <c r="E44" s="375">
        <f t="shared" si="5"/>
        <v>3.1499999999999995</v>
      </c>
      <c r="F44" s="375">
        <f t="shared" si="5"/>
        <v>2.5800000000000005</v>
      </c>
      <c r="G44" s="375">
        <f t="shared" si="5"/>
        <v>2.1800000000000006</v>
      </c>
      <c r="H44" s="375">
        <f t="shared" si="5"/>
        <v>2.1274999999999995</v>
      </c>
      <c r="I44" s="375">
        <f t="shared" si="5"/>
        <v>4.2500000000000038E-2</v>
      </c>
      <c r="J44" s="375">
        <f t="shared" si="5"/>
        <v>0</v>
      </c>
      <c r="K44" s="375">
        <f t="shared" si="5"/>
        <v>0</v>
      </c>
      <c r="L44" s="375">
        <f t="shared" si="5"/>
        <v>0</v>
      </c>
      <c r="M44" s="375">
        <f t="shared" si="5"/>
        <v>0</v>
      </c>
      <c r="N44" s="375">
        <f t="shared" si="5"/>
        <v>0</v>
      </c>
      <c r="O44" s="375">
        <f t="shared" si="5"/>
        <v>0</v>
      </c>
      <c r="P44" s="375">
        <f t="shared" si="5"/>
        <v>0</v>
      </c>
      <c r="Q44" s="375">
        <f t="shared" si="5"/>
        <v>0</v>
      </c>
      <c r="R44" s="375">
        <f t="shared" si="5"/>
        <v>0</v>
      </c>
      <c r="S44" s="375">
        <f t="shared" si="5"/>
        <v>0</v>
      </c>
      <c r="T44" s="375">
        <f t="shared" si="5"/>
        <v>0</v>
      </c>
      <c r="U44" s="375">
        <f t="shared" si="5"/>
        <v>0</v>
      </c>
      <c r="V44" s="375">
        <f t="shared" si="5"/>
        <v>0</v>
      </c>
      <c r="W44" s="375">
        <f t="shared" si="5"/>
        <v>0</v>
      </c>
      <c r="X44" s="375">
        <f t="shared" si="5"/>
        <v>0</v>
      </c>
      <c r="Y44" s="369"/>
    </row>
    <row r="45" spans="1:25" ht="12.9" thickBot="1" x14ac:dyDescent="0.35"/>
    <row r="46" spans="1:25" ht="12.9" thickBot="1" x14ac:dyDescent="0.35">
      <c r="A46" s="361" t="s">
        <v>279</v>
      </c>
      <c r="B46" s="359">
        <f>ROW(A46)</f>
        <v>46</v>
      </c>
      <c r="C46" s="363" t="s">
        <v>115</v>
      </c>
      <c r="D46" s="353">
        <f>SUM(B49:Y49)</f>
        <v>12.8695</v>
      </c>
      <c r="E46" s="363" t="s">
        <v>114</v>
      </c>
      <c r="F46" s="399">
        <f>D46/g/J46</f>
        <v>3.2796890927624869</v>
      </c>
      <c r="G46" s="363" t="s">
        <v>56</v>
      </c>
      <c r="H46" s="64">
        <v>0.5</v>
      </c>
      <c r="I46" s="363" t="s">
        <v>273</v>
      </c>
      <c r="J46" s="355">
        <f>H46-L46</f>
        <v>0.4</v>
      </c>
      <c r="K46" s="363" t="s">
        <v>274</v>
      </c>
      <c r="L46" s="64">
        <v>0.1</v>
      </c>
      <c r="M46" s="363" t="s">
        <v>57</v>
      </c>
      <c r="N46" s="65">
        <f>0.2*R46</f>
        <v>60</v>
      </c>
      <c r="O46" s="363" t="s">
        <v>59</v>
      </c>
      <c r="P46" s="65">
        <v>150</v>
      </c>
      <c r="Q46" s="363" t="s">
        <v>60</v>
      </c>
      <c r="R46" s="65">
        <v>300</v>
      </c>
      <c r="S46" s="363" t="s">
        <v>61</v>
      </c>
      <c r="T46" s="65">
        <v>98</v>
      </c>
      <c r="U46" s="363" t="s">
        <v>54</v>
      </c>
      <c r="V46" s="66" t="s">
        <v>278</v>
      </c>
      <c r="W46" s="12"/>
      <c r="X46" s="12"/>
      <c r="Y46" s="12"/>
    </row>
    <row r="47" spans="1:25" x14ac:dyDescent="0.3">
      <c r="A47" s="362" t="s">
        <v>33</v>
      </c>
      <c r="B47" s="370">
        <v>0</v>
      </c>
      <c r="C47" s="371">
        <v>1E-3</v>
      </c>
      <c r="D47" s="371">
        <v>0.02</v>
      </c>
      <c r="E47" s="371">
        <v>0.04</v>
      </c>
      <c r="F47" s="371">
        <v>0.05</v>
      </c>
      <c r="G47" s="371">
        <v>5.0999999999999997E-2</v>
      </c>
      <c r="H47" s="371">
        <v>5.0999999999999997E-2</v>
      </c>
      <c r="I47" s="371">
        <v>5.0999999999999997E-2</v>
      </c>
      <c r="J47" s="371">
        <v>5.0999999999999997E-2</v>
      </c>
      <c r="K47" s="371">
        <v>5.0999999999999997E-2</v>
      </c>
      <c r="L47" s="371">
        <v>5.0999999999999997E-2</v>
      </c>
      <c r="M47" s="371">
        <v>5.0999999999999997E-2</v>
      </c>
      <c r="N47" s="371">
        <v>5.0999999999999997E-2</v>
      </c>
      <c r="O47" s="371">
        <v>5.0999999999999997E-2</v>
      </c>
      <c r="P47" s="371">
        <v>5.0999999999999997E-2</v>
      </c>
      <c r="Q47" s="371">
        <v>5.0999999999999997E-2</v>
      </c>
      <c r="R47" s="371">
        <v>5.0999999999999997E-2</v>
      </c>
      <c r="S47" s="371">
        <v>5.0999999999999997E-2</v>
      </c>
      <c r="T47" s="371">
        <v>5.0999999999999997E-2</v>
      </c>
      <c r="U47" s="371">
        <v>5.0999999999999997E-2</v>
      </c>
      <c r="V47" s="371">
        <v>5.0999999999999997E-2</v>
      </c>
      <c r="W47" s="371">
        <v>5.0999999999999997E-2</v>
      </c>
      <c r="X47" s="371">
        <v>5.0999999999999997E-2</v>
      </c>
      <c r="Y47" s="381">
        <v>1000</v>
      </c>
    </row>
    <row r="48" spans="1:25" x14ac:dyDescent="0.3">
      <c r="A48" s="378" t="s">
        <v>34</v>
      </c>
      <c r="B48" s="372">
        <v>0</v>
      </c>
      <c r="C48" s="373">
        <v>310</v>
      </c>
      <c r="D48" s="373">
        <v>264</v>
      </c>
      <c r="E48" s="373">
        <v>230</v>
      </c>
      <c r="F48" s="373">
        <v>213</v>
      </c>
      <c r="G48" s="373">
        <v>0</v>
      </c>
      <c r="H48" s="373">
        <v>0</v>
      </c>
      <c r="I48" s="373">
        <v>0</v>
      </c>
      <c r="J48" s="373">
        <v>0</v>
      </c>
      <c r="K48" s="373">
        <v>0</v>
      </c>
      <c r="L48" s="373">
        <v>0</v>
      </c>
      <c r="M48" s="373">
        <v>0</v>
      </c>
      <c r="N48" s="373">
        <v>0</v>
      </c>
      <c r="O48" s="373">
        <v>0</v>
      </c>
      <c r="P48" s="373">
        <v>0</v>
      </c>
      <c r="Q48" s="373">
        <v>0</v>
      </c>
      <c r="R48" s="373">
        <v>0</v>
      </c>
      <c r="S48" s="373">
        <v>0</v>
      </c>
      <c r="T48" s="373">
        <v>0</v>
      </c>
      <c r="U48" s="373">
        <v>0</v>
      </c>
      <c r="V48" s="373">
        <v>0</v>
      </c>
      <c r="W48" s="373">
        <v>0</v>
      </c>
      <c r="X48" s="373">
        <v>0</v>
      </c>
      <c r="Y48" s="382">
        <v>0</v>
      </c>
    </row>
    <row r="49" spans="1:25" ht="12.9" thickBot="1" x14ac:dyDescent="0.35">
      <c r="A49" s="379" t="s">
        <v>116</v>
      </c>
      <c r="B49" s="374">
        <f t="shared" ref="B49:X49" si="6">(C48+B48)*(C47-B47)/2</f>
        <v>0.155</v>
      </c>
      <c r="C49" s="375">
        <f t="shared" si="6"/>
        <v>5.4530000000000003</v>
      </c>
      <c r="D49" s="375">
        <f t="shared" si="6"/>
        <v>4.9400000000000004</v>
      </c>
      <c r="E49" s="375">
        <f t="shared" si="6"/>
        <v>2.2150000000000003</v>
      </c>
      <c r="F49" s="375">
        <f t="shared" si="6"/>
        <v>0.10649999999999936</v>
      </c>
      <c r="G49" s="375">
        <f t="shared" si="6"/>
        <v>0</v>
      </c>
      <c r="H49" s="375">
        <f t="shared" si="6"/>
        <v>0</v>
      </c>
      <c r="I49" s="375">
        <f t="shared" si="6"/>
        <v>0</v>
      </c>
      <c r="J49" s="375">
        <f t="shared" si="6"/>
        <v>0</v>
      </c>
      <c r="K49" s="375">
        <f t="shared" si="6"/>
        <v>0</v>
      </c>
      <c r="L49" s="375">
        <f t="shared" si="6"/>
        <v>0</v>
      </c>
      <c r="M49" s="375">
        <f t="shared" si="6"/>
        <v>0</v>
      </c>
      <c r="N49" s="375">
        <f t="shared" si="6"/>
        <v>0</v>
      </c>
      <c r="O49" s="375">
        <f t="shared" si="6"/>
        <v>0</v>
      </c>
      <c r="P49" s="375">
        <f t="shared" si="6"/>
        <v>0</v>
      </c>
      <c r="Q49" s="375">
        <f t="shared" si="6"/>
        <v>0</v>
      </c>
      <c r="R49" s="375">
        <f t="shared" si="6"/>
        <v>0</v>
      </c>
      <c r="S49" s="375">
        <f t="shared" si="6"/>
        <v>0</v>
      </c>
      <c r="T49" s="375">
        <f t="shared" si="6"/>
        <v>0</v>
      </c>
      <c r="U49" s="375">
        <f t="shared" si="6"/>
        <v>0</v>
      </c>
      <c r="V49" s="375">
        <f t="shared" si="6"/>
        <v>0</v>
      </c>
      <c r="W49" s="375">
        <f t="shared" si="6"/>
        <v>0</v>
      </c>
      <c r="X49" s="375">
        <f t="shared" si="6"/>
        <v>0</v>
      </c>
      <c r="Y49" s="369"/>
    </row>
    <row r="50" spans="1:25" ht="12.9" thickBot="1" x14ac:dyDescent="0.35">
      <c r="A50" s="12"/>
      <c r="L50" s="12"/>
      <c r="M50" s="12"/>
      <c r="N50" s="12"/>
      <c r="O50" s="12"/>
      <c r="P50" s="12"/>
      <c r="Q50" s="12"/>
      <c r="R50" s="12"/>
      <c r="S50" s="12"/>
      <c r="T50" s="12"/>
      <c r="U50" s="12"/>
      <c r="V50" s="12"/>
      <c r="W50" s="12"/>
      <c r="X50" s="12"/>
      <c r="Y50" s="12"/>
    </row>
    <row r="51" spans="1:25" ht="12.9" thickBot="1" x14ac:dyDescent="0.35">
      <c r="A51" s="361" t="s">
        <v>280</v>
      </c>
      <c r="B51" s="359">
        <f>ROW(A51)</f>
        <v>51</v>
      </c>
      <c r="C51" s="363" t="s">
        <v>115</v>
      </c>
      <c r="D51" s="353">
        <f>SUM(B54:Y54)</f>
        <v>18.123500000000003</v>
      </c>
      <c r="E51" s="363" t="s">
        <v>114</v>
      </c>
      <c r="F51" s="399">
        <f>D51/g/J51</f>
        <v>3.0790859667006463</v>
      </c>
      <c r="G51" s="363" t="s">
        <v>56</v>
      </c>
      <c r="H51" s="64">
        <v>0.7</v>
      </c>
      <c r="I51" s="363" t="s">
        <v>273</v>
      </c>
      <c r="J51" s="355">
        <f>H51-L51</f>
        <v>0.6</v>
      </c>
      <c r="K51" s="363" t="s">
        <v>274</v>
      </c>
      <c r="L51" s="64">
        <v>0.1</v>
      </c>
      <c r="M51" s="363" t="s">
        <v>57</v>
      </c>
      <c r="N51" s="65">
        <f>0.3*R51</f>
        <v>90</v>
      </c>
      <c r="O51" s="363" t="s">
        <v>59</v>
      </c>
      <c r="P51" s="65">
        <v>150</v>
      </c>
      <c r="Q51" s="363" t="s">
        <v>60</v>
      </c>
      <c r="R51" s="65">
        <v>300</v>
      </c>
      <c r="S51" s="363" t="s">
        <v>61</v>
      </c>
      <c r="T51" s="65">
        <v>98</v>
      </c>
      <c r="U51" s="363" t="s">
        <v>54</v>
      </c>
      <c r="V51" s="66" t="s">
        <v>278</v>
      </c>
      <c r="W51" s="12"/>
      <c r="X51" s="12"/>
      <c r="Y51" s="12"/>
    </row>
    <row r="52" spans="1:25" x14ac:dyDescent="0.3">
      <c r="A52" s="362" t="s">
        <v>33</v>
      </c>
      <c r="B52" s="370">
        <v>0</v>
      </c>
      <c r="C52" s="371">
        <v>1E-3</v>
      </c>
      <c r="D52" s="371">
        <v>0.02</v>
      </c>
      <c r="E52" s="371">
        <v>0.04</v>
      </c>
      <c r="F52" s="371">
        <v>0.06</v>
      </c>
      <c r="G52" s="371">
        <v>0.08</v>
      </c>
      <c r="H52" s="371">
        <v>8.1000000000000003E-2</v>
      </c>
      <c r="I52" s="371">
        <v>8.1000000000000003E-2</v>
      </c>
      <c r="J52" s="371">
        <v>8.1000000000000003E-2</v>
      </c>
      <c r="K52" s="371">
        <v>8.1000000000000003E-2</v>
      </c>
      <c r="L52" s="371">
        <v>8.1000000000000003E-2</v>
      </c>
      <c r="M52" s="371">
        <v>8.1000000000000003E-2</v>
      </c>
      <c r="N52" s="371">
        <v>8.1000000000000003E-2</v>
      </c>
      <c r="O52" s="371">
        <v>8.1000000000000003E-2</v>
      </c>
      <c r="P52" s="371">
        <v>8.1000000000000003E-2</v>
      </c>
      <c r="Q52" s="371">
        <v>8.1000000000000003E-2</v>
      </c>
      <c r="R52" s="371">
        <v>8.1000000000000003E-2</v>
      </c>
      <c r="S52" s="371">
        <v>8.1000000000000003E-2</v>
      </c>
      <c r="T52" s="371">
        <v>8.1000000000000003E-2</v>
      </c>
      <c r="U52" s="371">
        <v>8.1000000000000003E-2</v>
      </c>
      <c r="V52" s="371">
        <v>8.1000000000000003E-2</v>
      </c>
      <c r="W52" s="371">
        <v>8.1000000000000003E-2</v>
      </c>
      <c r="X52" s="371">
        <v>8.1000000000000003E-2</v>
      </c>
      <c r="Y52" s="381">
        <v>1000</v>
      </c>
    </row>
    <row r="53" spans="1:25" x14ac:dyDescent="0.3">
      <c r="A53" s="378" t="s">
        <v>34</v>
      </c>
      <c r="B53" s="372">
        <v>0</v>
      </c>
      <c r="C53" s="373">
        <v>310</v>
      </c>
      <c r="D53" s="373">
        <v>260</v>
      </c>
      <c r="E53" s="373">
        <v>220</v>
      </c>
      <c r="F53" s="373">
        <v>190</v>
      </c>
      <c r="G53" s="373">
        <v>167</v>
      </c>
      <c r="H53" s="373">
        <v>0</v>
      </c>
      <c r="I53" s="373">
        <v>0</v>
      </c>
      <c r="J53" s="373">
        <v>0</v>
      </c>
      <c r="K53" s="373">
        <v>0</v>
      </c>
      <c r="L53" s="373">
        <v>0</v>
      </c>
      <c r="M53" s="373">
        <v>0</v>
      </c>
      <c r="N53" s="373">
        <v>0</v>
      </c>
      <c r="O53" s="373">
        <v>0</v>
      </c>
      <c r="P53" s="373">
        <v>0</v>
      </c>
      <c r="Q53" s="373">
        <v>0</v>
      </c>
      <c r="R53" s="373">
        <v>0</v>
      </c>
      <c r="S53" s="373">
        <v>0</v>
      </c>
      <c r="T53" s="373">
        <v>0</v>
      </c>
      <c r="U53" s="373">
        <v>0</v>
      </c>
      <c r="V53" s="373">
        <v>0</v>
      </c>
      <c r="W53" s="373">
        <v>0</v>
      </c>
      <c r="X53" s="373">
        <v>0</v>
      </c>
      <c r="Y53" s="382">
        <v>0</v>
      </c>
    </row>
    <row r="54" spans="1:25" ht="12.9" thickBot="1" x14ac:dyDescent="0.35">
      <c r="A54" s="379" t="s">
        <v>116</v>
      </c>
      <c r="B54" s="374">
        <f t="shared" ref="B54:X54" si="7">(C53+B53)*(C52-B52)/2</f>
        <v>0.155</v>
      </c>
      <c r="C54" s="375">
        <f t="shared" si="7"/>
        <v>5.415</v>
      </c>
      <c r="D54" s="375">
        <f t="shared" si="7"/>
        <v>4.8</v>
      </c>
      <c r="E54" s="375">
        <f t="shared" si="7"/>
        <v>4.0999999999999996</v>
      </c>
      <c r="F54" s="375">
        <f t="shared" si="7"/>
        <v>3.5700000000000007</v>
      </c>
      <c r="G54" s="375">
        <f t="shared" si="7"/>
        <v>8.3500000000000074E-2</v>
      </c>
      <c r="H54" s="375">
        <f t="shared" si="7"/>
        <v>0</v>
      </c>
      <c r="I54" s="375">
        <f t="shared" si="7"/>
        <v>0</v>
      </c>
      <c r="J54" s="375">
        <f t="shared" si="7"/>
        <v>0</v>
      </c>
      <c r="K54" s="375">
        <f t="shared" si="7"/>
        <v>0</v>
      </c>
      <c r="L54" s="375">
        <f t="shared" si="7"/>
        <v>0</v>
      </c>
      <c r="M54" s="375">
        <f t="shared" si="7"/>
        <v>0</v>
      </c>
      <c r="N54" s="375">
        <f t="shared" si="7"/>
        <v>0</v>
      </c>
      <c r="O54" s="375">
        <f t="shared" si="7"/>
        <v>0</v>
      </c>
      <c r="P54" s="375">
        <f t="shared" si="7"/>
        <v>0</v>
      </c>
      <c r="Q54" s="375">
        <f t="shared" si="7"/>
        <v>0</v>
      </c>
      <c r="R54" s="375">
        <f t="shared" si="7"/>
        <v>0</v>
      </c>
      <c r="S54" s="375">
        <f t="shared" si="7"/>
        <v>0</v>
      </c>
      <c r="T54" s="375">
        <f t="shared" si="7"/>
        <v>0</v>
      </c>
      <c r="U54" s="375">
        <f t="shared" si="7"/>
        <v>0</v>
      </c>
      <c r="V54" s="375">
        <f t="shared" si="7"/>
        <v>0</v>
      </c>
      <c r="W54" s="375">
        <f t="shared" si="7"/>
        <v>0</v>
      </c>
      <c r="X54" s="375">
        <f t="shared" si="7"/>
        <v>0</v>
      </c>
      <c r="Y54" s="369"/>
    </row>
    <row r="55" spans="1:25" ht="12.9" thickBot="1" x14ac:dyDescent="0.35">
      <c r="B55" s="12"/>
      <c r="C55" s="12"/>
      <c r="D55" s="12"/>
      <c r="E55" s="12"/>
      <c r="F55" s="12"/>
      <c r="G55" s="12"/>
      <c r="H55" s="12"/>
      <c r="I55" s="12"/>
      <c r="J55" s="12"/>
      <c r="K55" s="12"/>
      <c r="L55" s="12"/>
      <c r="M55" s="12"/>
      <c r="N55" s="12"/>
      <c r="O55" s="12"/>
      <c r="P55" s="12"/>
      <c r="Q55" s="12"/>
      <c r="R55" s="12"/>
      <c r="S55" s="12"/>
      <c r="T55" s="12"/>
      <c r="U55" s="12"/>
      <c r="V55" s="12"/>
      <c r="W55" s="12"/>
      <c r="X55" s="12"/>
      <c r="Y55" s="12"/>
    </row>
    <row r="56" spans="1:25" ht="12.9" thickBot="1" x14ac:dyDescent="0.35">
      <c r="A56" s="361" t="s">
        <v>281</v>
      </c>
      <c r="B56" s="359">
        <f>ROW(A56)</f>
        <v>56</v>
      </c>
      <c r="C56" s="363" t="s">
        <v>115</v>
      </c>
      <c r="D56" s="353">
        <f>SUM(B59:Y59)</f>
        <v>22.610000000000003</v>
      </c>
      <c r="E56" s="363" t="s">
        <v>114</v>
      </c>
      <c r="F56" s="399">
        <f>D56/g/J56</f>
        <v>2.88098878695209</v>
      </c>
      <c r="G56" s="363" t="s">
        <v>56</v>
      </c>
      <c r="H56" s="64">
        <v>0.9</v>
      </c>
      <c r="I56" s="363" t="s">
        <v>273</v>
      </c>
      <c r="J56" s="355">
        <f>H56-L56</f>
        <v>0.8</v>
      </c>
      <c r="K56" s="363" t="s">
        <v>274</v>
      </c>
      <c r="L56" s="64">
        <v>0.1</v>
      </c>
      <c r="M56" s="363" t="s">
        <v>57</v>
      </c>
      <c r="N56" s="65">
        <f>0.4*R56</f>
        <v>120</v>
      </c>
      <c r="O56" s="363" t="s">
        <v>59</v>
      </c>
      <c r="P56" s="65">
        <v>150</v>
      </c>
      <c r="Q56" s="363" t="s">
        <v>60</v>
      </c>
      <c r="R56" s="65">
        <v>300</v>
      </c>
      <c r="S56" s="363" t="s">
        <v>61</v>
      </c>
      <c r="T56" s="65">
        <v>98</v>
      </c>
      <c r="U56" s="363" t="s">
        <v>54</v>
      </c>
      <c r="V56" s="66" t="s">
        <v>278</v>
      </c>
      <c r="W56" s="12"/>
      <c r="X56" s="12"/>
      <c r="Y56" s="12"/>
    </row>
    <row r="57" spans="1:25" x14ac:dyDescent="0.3">
      <c r="A57" s="362" t="s">
        <v>33</v>
      </c>
      <c r="B57" s="370">
        <v>0</v>
      </c>
      <c r="C57" s="371">
        <v>1E-3</v>
      </c>
      <c r="D57" s="371">
        <v>0.02</v>
      </c>
      <c r="E57" s="371">
        <v>0.04</v>
      </c>
      <c r="F57" s="371">
        <v>0.06</v>
      </c>
      <c r="G57" s="371">
        <v>0.08</v>
      </c>
      <c r="H57" s="371">
        <v>0.1</v>
      </c>
      <c r="I57" s="371">
        <v>0.11700000000000001</v>
      </c>
      <c r="J57" s="371">
        <v>0.11799999999999999</v>
      </c>
      <c r="K57" s="371">
        <v>0.11799999999999999</v>
      </c>
      <c r="L57" s="371">
        <v>0.11799999999999999</v>
      </c>
      <c r="M57" s="371">
        <v>0.11799999999999999</v>
      </c>
      <c r="N57" s="371">
        <v>0.11799999999999999</v>
      </c>
      <c r="O57" s="371">
        <v>0.11799999999999999</v>
      </c>
      <c r="P57" s="371">
        <v>0.11799999999999999</v>
      </c>
      <c r="Q57" s="371">
        <v>0.11799999999999999</v>
      </c>
      <c r="R57" s="371">
        <v>0.11799999999999999</v>
      </c>
      <c r="S57" s="371">
        <v>0.11799999999999999</v>
      </c>
      <c r="T57" s="371">
        <v>0.11799999999999999</v>
      </c>
      <c r="U57" s="371">
        <v>0.11799999999999999</v>
      </c>
      <c r="V57" s="371">
        <v>0.11799999999999999</v>
      </c>
      <c r="W57" s="371">
        <v>0.11799999999999999</v>
      </c>
      <c r="X57" s="371">
        <v>0.11799999999999999</v>
      </c>
      <c r="Y57" s="381">
        <v>1000</v>
      </c>
    </row>
    <row r="58" spans="1:25" x14ac:dyDescent="0.3">
      <c r="A58" s="378" t="s">
        <v>34</v>
      </c>
      <c r="B58" s="372">
        <v>0</v>
      </c>
      <c r="C58" s="373">
        <v>310</v>
      </c>
      <c r="D58" s="373">
        <v>250</v>
      </c>
      <c r="E58" s="373">
        <v>210</v>
      </c>
      <c r="F58" s="373">
        <v>180</v>
      </c>
      <c r="G58" s="373">
        <v>156</v>
      </c>
      <c r="H58" s="373">
        <v>140</v>
      </c>
      <c r="I58" s="373">
        <v>125</v>
      </c>
      <c r="J58" s="373">
        <v>0</v>
      </c>
      <c r="K58" s="373">
        <v>0</v>
      </c>
      <c r="L58" s="373">
        <v>0</v>
      </c>
      <c r="M58" s="373">
        <v>0</v>
      </c>
      <c r="N58" s="373">
        <v>0</v>
      </c>
      <c r="O58" s="373">
        <v>0</v>
      </c>
      <c r="P58" s="373">
        <v>0</v>
      </c>
      <c r="Q58" s="373">
        <v>0</v>
      </c>
      <c r="R58" s="373">
        <v>0</v>
      </c>
      <c r="S58" s="373">
        <v>0</v>
      </c>
      <c r="T58" s="373">
        <v>0</v>
      </c>
      <c r="U58" s="373">
        <v>0</v>
      </c>
      <c r="V58" s="373">
        <v>0</v>
      </c>
      <c r="W58" s="373">
        <v>0</v>
      </c>
      <c r="X58" s="373">
        <v>0</v>
      </c>
      <c r="Y58" s="382">
        <v>0</v>
      </c>
    </row>
    <row r="59" spans="1:25" ht="12.9" thickBot="1" x14ac:dyDescent="0.35">
      <c r="A59" s="379" t="s">
        <v>116</v>
      </c>
      <c r="B59" s="374">
        <f t="shared" ref="B59:X59" si="8">(C58+B58)*(C57-B57)/2</f>
        <v>0.155</v>
      </c>
      <c r="C59" s="375">
        <f t="shared" si="8"/>
        <v>5.32</v>
      </c>
      <c r="D59" s="375">
        <f t="shared" si="8"/>
        <v>4.6000000000000005</v>
      </c>
      <c r="E59" s="375">
        <f t="shared" si="8"/>
        <v>3.8999999999999995</v>
      </c>
      <c r="F59" s="375">
        <f t="shared" si="8"/>
        <v>3.3600000000000008</v>
      </c>
      <c r="G59" s="375">
        <f t="shared" si="8"/>
        <v>2.9600000000000004</v>
      </c>
      <c r="H59" s="375">
        <f t="shared" si="8"/>
        <v>2.2524999999999999</v>
      </c>
      <c r="I59" s="375">
        <f t="shared" si="8"/>
        <v>6.2499999999999188E-2</v>
      </c>
      <c r="J59" s="375">
        <f t="shared" si="8"/>
        <v>0</v>
      </c>
      <c r="K59" s="375">
        <f t="shared" si="8"/>
        <v>0</v>
      </c>
      <c r="L59" s="375">
        <f t="shared" si="8"/>
        <v>0</v>
      </c>
      <c r="M59" s="375">
        <f t="shared" si="8"/>
        <v>0</v>
      </c>
      <c r="N59" s="375">
        <f t="shared" si="8"/>
        <v>0</v>
      </c>
      <c r="O59" s="375">
        <f t="shared" si="8"/>
        <v>0</v>
      </c>
      <c r="P59" s="375">
        <f t="shared" si="8"/>
        <v>0</v>
      </c>
      <c r="Q59" s="375">
        <f t="shared" si="8"/>
        <v>0</v>
      </c>
      <c r="R59" s="375">
        <f t="shared" si="8"/>
        <v>0</v>
      </c>
      <c r="S59" s="375">
        <f t="shared" si="8"/>
        <v>0</v>
      </c>
      <c r="T59" s="375">
        <f t="shared" si="8"/>
        <v>0</v>
      </c>
      <c r="U59" s="375">
        <f t="shared" si="8"/>
        <v>0</v>
      </c>
      <c r="V59" s="375">
        <f t="shared" si="8"/>
        <v>0</v>
      </c>
      <c r="W59" s="375">
        <f t="shared" si="8"/>
        <v>0</v>
      </c>
      <c r="X59" s="375">
        <f t="shared" si="8"/>
        <v>0</v>
      </c>
      <c r="Y59" s="369"/>
    </row>
    <row r="60" spans="1:25" ht="12.9" thickBot="1" x14ac:dyDescent="0.35">
      <c r="A60" s="12"/>
      <c r="L60" s="12"/>
      <c r="M60" s="12"/>
      <c r="N60" s="12"/>
      <c r="O60" s="12"/>
      <c r="P60" s="12"/>
      <c r="Q60" s="12"/>
      <c r="R60" s="12"/>
      <c r="S60" s="12"/>
      <c r="T60" s="12"/>
      <c r="U60" s="12"/>
      <c r="V60" s="12"/>
      <c r="W60" s="12"/>
      <c r="X60" s="12"/>
      <c r="Y60" s="12"/>
    </row>
    <row r="61" spans="1:25" ht="12.9" thickBot="1" x14ac:dyDescent="0.35">
      <c r="A61" s="361" t="s">
        <v>282</v>
      </c>
      <c r="B61" s="359">
        <f>ROW(A61)</f>
        <v>61</v>
      </c>
      <c r="C61" s="363" t="s">
        <v>115</v>
      </c>
      <c r="D61" s="353">
        <f>SUM(B64:Y64)</f>
        <v>25.874000000000006</v>
      </c>
      <c r="E61" s="363" t="s">
        <v>114</v>
      </c>
      <c r="F61" s="399">
        <f>D61/g/J61</f>
        <v>2.6375127420998985</v>
      </c>
      <c r="G61" s="363" t="s">
        <v>56</v>
      </c>
      <c r="H61" s="64">
        <v>1.1000000000000001</v>
      </c>
      <c r="I61" s="363" t="s">
        <v>273</v>
      </c>
      <c r="J61" s="355">
        <f>H61-L61</f>
        <v>1</v>
      </c>
      <c r="K61" s="363" t="s">
        <v>274</v>
      </c>
      <c r="L61" s="64">
        <v>0.1</v>
      </c>
      <c r="M61" s="363" t="s">
        <v>57</v>
      </c>
      <c r="N61" s="65">
        <f>0.5*R61</f>
        <v>150</v>
      </c>
      <c r="O61" s="363" t="s">
        <v>59</v>
      </c>
      <c r="P61" s="65">
        <v>150</v>
      </c>
      <c r="Q61" s="363" t="s">
        <v>60</v>
      </c>
      <c r="R61" s="65">
        <v>300</v>
      </c>
      <c r="S61" s="363" t="s">
        <v>61</v>
      </c>
      <c r="T61" s="65">
        <v>98</v>
      </c>
      <c r="U61" s="363" t="s">
        <v>54</v>
      </c>
      <c r="V61" s="66" t="s">
        <v>278</v>
      </c>
      <c r="W61" s="12"/>
      <c r="X61" s="12"/>
      <c r="Y61" s="12"/>
    </row>
    <row r="62" spans="1:25" x14ac:dyDescent="0.3">
      <c r="A62" s="362" t="s">
        <v>33</v>
      </c>
      <c r="B62" s="370">
        <v>0</v>
      </c>
      <c r="C62" s="371">
        <v>1E-3</v>
      </c>
      <c r="D62" s="371">
        <v>0.02</v>
      </c>
      <c r="E62" s="371">
        <v>0.04</v>
      </c>
      <c r="F62" s="371">
        <v>0.06</v>
      </c>
      <c r="G62" s="371">
        <v>0.08</v>
      </c>
      <c r="H62" s="371">
        <v>0.1</v>
      </c>
      <c r="I62" s="371">
        <v>0.12</v>
      </c>
      <c r="J62" s="371">
        <v>0.14000000000000001</v>
      </c>
      <c r="K62" s="371">
        <v>0.16400000000000001</v>
      </c>
      <c r="L62" s="371">
        <v>0.16500000000000001</v>
      </c>
      <c r="M62" s="371">
        <v>0.16500000000000001</v>
      </c>
      <c r="N62" s="371">
        <v>0.16500000000000001</v>
      </c>
      <c r="O62" s="371">
        <v>0.16500000000000001</v>
      </c>
      <c r="P62" s="371">
        <v>0.16500000000000001</v>
      </c>
      <c r="Q62" s="371">
        <v>0.16500000000000001</v>
      </c>
      <c r="R62" s="371">
        <v>0.16500000000000001</v>
      </c>
      <c r="S62" s="371">
        <v>0.16500000000000001</v>
      </c>
      <c r="T62" s="371">
        <v>0.16500000000000001</v>
      </c>
      <c r="U62" s="371">
        <v>0.16500000000000001</v>
      </c>
      <c r="V62" s="371">
        <v>0.16500000000000001</v>
      </c>
      <c r="W62" s="371">
        <v>0.16500000000000001</v>
      </c>
      <c r="X62" s="371">
        <v>0.16500000000000001</v>
      </c>
      <c r="Y62" s="381">
        <v>1000</v>
      </c>
    </row>
    <row r="63" spans="1:25" x14ac:dyDescent="0.3">
      <c r="A63" s="378" t="s">
        <v>34</v>
      </c>
      <c r="B63" s="372">
        <v>0</v>
      </c>
      <c r="C63" s="373">
        <v>310</v>
      </c>
      <c r="D63" s="373">
        <v>245</v>
      </c>
      <c r="E63" s="373">
        <v>200</v>
      </c>
      <c r="F63" s="373">
        <v>165</v>
      </c>
      <c r="G63" s="373">
        <v>143</v>
      </c>
      <c r="H63" s="373">
        <v>124</v>
      </c>
      <c r="I63" s="373">
        <v>108</v>
      </c>
      <c r="J63" s="373">
        <v>97</v>
      </c>
      <c r="K63" s="373">
        <v>85</v>
      </c>
      <c r="L63" s="373">
        <v>0</v>
      </c>
      <c r="M63" s="373">
        <v>0</v>
      </c>
      <c r="N63" s="373">
        <v>0</v>
      </c>
      <c r="O63" s="373">
        <v>0</v>
      </c>
      <c r="P63" s="373">
        <v>0</v>
      </c>
      <c r="Q63" s="373">
        <v>0</v>
      </c>
      <c r="R63" s="373">
        <v>0</v>
      </c>
      <c r="S63" s="373">
        <v>0</v>
      </c>
      <c r="T63" s="373">
        <v>0</v>
      </c>
      <c r="U63" s="373">
        <v>0</v>
      </c>
      <c r="V63" s="373">
        <v>0</v>
      </c>
      <c r="W63" s="373">
        <v>0</v>
      </c>
      <c r="X63" s="373">
        <v>0</v>
      </c>
      <c r="Y63" s="382">
        <v>0</v>
      </c>
    </row>
    <row r="64" spans="1:25" ht="12.9" thickBot="1" x14ac:dyDescent="0.35">
      <c r="A64" s="379" t="s">
        <v>116</v>
      </c>
      <c r="B64" s="374">
        <f t="shared" ref="B64:X64" si="9">(C63+B63)*(C62-B62)/2</f>
        <v>0.155</v>
      </c>
      <c r="C64" s="375">
        <f t="shared" si="9"/>
        <v>5.2725</v>
      </c>
      <c r="D64" s="375">
        <f t="shared" si="9"/>
        <v>4.45</v>
      </c>
      <c r="E64" s="375">
        <f t="shared" si="9"/>
        <v>3.6499999999999995</v>
      </c>
      <c r="F64" s="375">
        <f t="shared" si="9"/>
        <v>3.0800000000000005</v>
      </c>
      <c r="G64" s="375">
        <f t="shared" si="9"/>
        <v>2.6700000000000004</v>
      </c>
      <c r="H64" s="375">
        <f t="shared" si="9"/>
        <v>2.319999999999999</v>
      </c>
      <c r="I64" s="375">
        <f t="shared" si="9"/>
        <v>2.0500000000000016</v>
      </c>
      <c r="J64" s="375">
        <f t="shared" si="9"/>
        <v>2.1839999999999993</v>
      </c>
      <c r="K64" s="375">
        <f t="shared" si="9"/>
        <v>4.2500000000000038E-2</v>
      </c>
      <c r="L64" s="375">
        <f t="shared" si="9"/>
        <v>0</v>
      </c>
      <c r="M64" s="375">
        <f t="shared" si="9"/>
        <v>0</v>
      </c>
      <c r="N64" s="375">
        <f t="shared" si="9"/>
        <v>0</v>
      </c>
      <c r="O64" s="375">
        <f t="shared" si="9"/>
        <v>0</v>
      </c>
      <c r="P64" s="375">
        <f t="shared" si="9"/>
        <v>0</v>
      </c>
      <c r="Q64" s="375">
        <f t="shared" si="9"/>
        <v>0</v>
      </c>
      <c r="R64" s="375">
        <f t="shared" si="9"/>
        <v>0</v>
      </c>
      <c r="S64" s="375">
        <f t="shared" si="9"/>
        <v>0</v>
      </c>
      <c r="T64" s="375">
        <f t="shared" si="9"/>
        <v>0</v>
      </c>
      <c r="U64" s="375">
        <f t="shared" si="9"/>
        <v>0</v>
      </c>
      <c r="V64" s="375">
        <f t="shared" si="9"/>
        <v>0</v>
      </c>
      <c r="W64" s="375">
        <f t="shared" si="9"/>
        <v>0</v>
      </c>
      <c r="X64" s="375">
        <f t="shared" si="9"/>
        <v>0</v>
      </c>
      <c r="Y64" s="369"/>
    </row>
    <row r="66" spans="1:26" ht="12.9" thickBot="1" x14ac:dyDescent="0.35">
      <c r="A66" s="6" t="s">
        <v>183</v>
      </c>
    </row>
    <row r="67" spans="1:26" ht="12.9" thickBot="1" x14ac:dyDescent="0.35">
      <c r="A67" s="361" t="s">
        <v>111</v>
      </c>
      <c r="B67" s="359">
        <f>ROW(A67)</f>
        <v>67</v>
      </c>
      <c r="C67" s="363" t="s">
        <v>115</v>
      </c>
      <c r="D67" s="353">
        <f>SUM(B70:Y70)</f>
        <v>2.65</v>
      </c>
      <c r="E67" s="363" t="s">
        <v>114</v>
      </c>
      <c r="F67" s="354">
        <f>D67/g/J67</f>
        <v>54.026503567787969</v>
      </c>
      <c r="G67" s="363" t="s">
        <v>56</v>
      </c>
      <c r="H67" s="64">
        <v>1.4999999999999999E-2</v>
      </c>
      <c r="I67" s="363" t="s">
        <v>273</v>
      </c>
      <c r="J67" s="355">
        <f>H67-L67</f>
        <v>4.9999999999999992E-3</v>
      </c>
      <c r="K67" s="363" t="s">
        <v>274</v>
      </c>
      <c r="L67" s="64">
        <v>0.01</v>
      </c>
      <c r="M67" s="363" t="s">
        <v>57</v>
      </c>
      <c r="N67" s="65">
        <v>30</v>
      </c>
      <c r="O67" s="363" t="s">
        <v>59</v>
      </c>
      <c r="P67" s="65">
        <v>30</v>
      </c>
      <c r="Q67" s="363" t="s">
        <v>60</v>
      </c>
      <c r="R67" s="65">
        <v>70</v>
      </c>
      <c r="S67" s="363" t="s">
        <v>61</v>
      </c>
      <c r="T67" s="65">
        <v>15</v>
      </c>
      <c r="U67" s="363" t="s">
        <v>54</v>
      </c>
      <c r="V67" s="66" t="s">
        <v>117</v>
      </c>
      <c r="W67" s="463" t="s">
        <v>396</v>
      </c>
      <c r="X67" s="465">
        <v>0.32</v>
      </c>
      <c r="Y67" s="463" t="s">
        <v>395</v>
      </c>
      <c r="Z67" s="358">
        <v>3</v>
      </c>
    </row>
    <row r="68" spans="1:26" x14ac:dyDescent="0.3">
      <c r="A68" s="362" t="s">
        <v>33</v>
      </c>
      <c r="B68" s="370">
        <v>0</v>
      </c>
      <c r="C68" s="371">
        <v>0.2</v>
      </c>
      <c r="D68" s="371">
        <v>0.3</v>
      </c>
      <c r="E68" s="371">
        <v>0.4</v>
      </c>
      <c r="F68" s="371">
        <v>0.5</v>
      </c>
      <c r="G68" s="371">
        <v>0.55000000000000004</v>
      </c>
      <c r="H68" s="371">
        <v>0.6</v>
      </c>
      <c r="I68" s="371">
        <v>0.6</v>
      </c>
      <c r="J68" s="371">
        <v>0.6</v>
      </c>
      <c r="K68" s="371">
        <v>0.6</v>
      </c>
      <c r="L68" s="371">
        <v>0.6</v>
      </c>
      <c r="M68" s="371">
        <v>0.6</v>
      </c>
      <c r="N68" s="371">
        <v>0.6</v>
      </c>
      <c r="O68" s="371">
        <v>0.6</v>
      </c>
      <c r="P68" s="371">
        <v>0.6</v>
      </c>
      <c r="Q68" s="371">
        <v>0.6</v>
      </c>
      <c r="R68" s="371">
        <v>0.6</v>
      </c>
      <c r="S68" s="371">
        <v>0.6</v>
      </c>
      <c r="T68" s="371">
        <v>0.6</v>
      </c>
      <c r="U68" s="371">
        <v>0.6</v>
      </c>
      <c r="V68" s="371">
        <v>0.6</v>
      </c>
      <c r="W68" s="371">
        <v>0.6</v>
      </c>
      <c r="X68" s="371">
        <v>0.6</v>
      </c>
      <c r="Y68" s="381">
        <v>1000</v>
      </c>
    </row>
    <row r="69" spans="1:26" x14ac:dyDescent="0.3">
      <c r="A69" s="378" t="s">
        <v>34</v>
      </c>
      <c r="B69" s="372">
        <v>0</v>
      </c>
      <c r="C69" s="373">
        <v>9</v>
      </c>
      <c r="D69" s="373">
        <v>4.5</v>
      </c>
      <c r="E69" s="373">
        <v>4</v>
      </c>
      <c r="F69" s="373">
        <v>4</v>
      </c>
      <c r="G69" s="373">
        <v>3</v>
      </c>
      <c r="H69" s="373">
        <v>0</v>
      </c>
      <c r="I69" s="373">
        <v>0</v>
      </c>
      <c r="J69" s="373">
        <v>0</v>
      </c>
      <c r="K69" s="373">
        <v>0</v>
      </c>
      <c r="L69" s="373">
        <v>0</v>
      </c>
      <c r="M69" s="373">
        <v>0</v>
      </c>
      <c r="N69" s="373">
        <v>0</v>
      </c>
      <c r="O69" s="373">
        <v>0</v>
      </c>
      <c r="P69" s="373">
        <v>0</v>
      </c>
      <c r="Q69" s="373">
        <v>0</v>
      </c>
      <c r="R69" s="373">
        <v>0</v>
      </c>
      <c r="S69" s="373">
        <v>0</v>
      </c>
      <c r="T69" s="373">
        <v>0</v>
      </c>
      <c r="U69" s="373">
        <v>0</v>
      </c>
      <c r="V69" s="373">
        <v>0</v>
      </c>
      <c r="W69" s="373">
        <v>0</v>
      </c>
      <c r="X69" s="373">
        <v>0</v>
      </c>
      <c r="Y69" s="382">
        <v>0</v>
      </c>
    </row>
    <row r="70" spans="1:26" ht="12.9" thickBot="1" x14ac:dyDescent="0.35">
      <c r="A70" s="379" t="s">
        <v>116</v>
      </c>
      <c r="B70" s="374">
        <f t="shared" ref="B70:X70" si="10">(C69+B69)*(C68-B68)/2</f>
        <v>0.9</v>
      </c>
      <c r="C70" s="375">
        <f t="shared" si="10"/>
        <v>0.67499999999999982</v>
      </c>
      <c r="D70" s="375">
        <f t="shared" si="10"/>
        <v>0.42500000000000016</v>
      </c>
      <c r="E70" s="375">
        <f t="shared" si="10"/>
        <v>0.39999999999999991</v>
      </c>
      <c r="F70" s="375">
        <f t="shared" si="10"/>
        <v>0.17500000000000016</v>
      </c>
      <c r="G70" s="375">
        <f t="shared" si="10"/>
        <v>7.49999999999999E-2</v>
      </c>
      <c r="H70" s="375">
        <f t="shared" si="10"/>
        <v>0</v>
      </c>
      <c r="I70" s="375">
        <f t="shared" si="10"/>
        <v>0</v>
      </c>
      <c r="J70" s="375">
        <f t="shared" si="10"/>
        <v>0</v>
      </c>
      <c r="K70" s="375">
        <f t="shared" si="10"/>
        <v>0</v>
      </c>
      <c r="L70" s="375">
        <f t="shared" si="10"/>
        <v>0</v>
      </c>
      <c r="M70" s="375">
        <f t="shared" si="10"/>
        <v>0</v>
      </c>
      <c r="N70" s="375">
        <f t="shared" si="10"/>
        <v>0</v>
      </c>
      <c r="O70" s="375">
        <f t="shared" si="10"/>
        <v>0</v>
      </c>
      <c r="P70" s="375">
        <f t="shared" si="10"/>
        <v>0</v>
      </c>
      <c r="Q70" s="375">
        <f t="shared" si="10"/>
        <v>0</v>
      </c>
      <c r="R70" s="375">
        <f t="shared" si="10"/>
        <v>0</v>
      </c>
      <c r="S70" s="375">
        <f t="shared" si="10"/>
        <v>0</v>
      </c>
      <c r="T70" s="375">
        <f t="shared" si="10"/>
        <v>0</v>
      </c>
      <c r="U70" s="375">
        <f t="shared" si="10"/>
        <v>0</v>
      </c>
      <c r="V70" s="375">
        <f t="shared" si="10"/>
        <v>0</v>
      </c>
      <c r="W70" s="375">
        <f t="shared" si="10"/>
        <v>0</v>
      </c>
      <c r="X70" s="375">
        <f t="shared" si="10"/>
        <v>0</v>
      </c>
      <c r="Y70" s="369"/>
    </row>
    <row r="71" spans="1:26" ht="12.9" thickBot="1" x14ac:dyDescent="0.35">
      <c r="A71" s="12"/>
      <c r="L71" s="12"/>
      <c r="M71" s="12"/>
      <c r="N71" s="12"/>
      <c r="O71" s="12"/>
      <c r="P71" s="12"/>
      <c r="Q71" s="12"/>
      <c r="R71" s="12"/>
      <c r="S71" s="12"/>
      <c r="T71" s="12"/>
      <c r="U71" s="12"/>
      <c r="V71" s="12"/>
      <c r="W71" s="12"/>
      <c r="X71" s="12"/>
      <c r="Y71" s="12"/>
    </row>
    <row r="72" spans="1:26" ht="12.9" thickBot="1" x14ac:dyDescent="0.35">
      <c r="A72" s="361" t="s">
        <v>112</v>
      </c>
      <c r="B72" s="359">
        <f>ROW(A72)</f>
        <v>72</v>
      </c>
      <c r="C72" s="363" t="s">
        <v>115</v>
      </c>
      <c r="D72" s="353">
        <f>SUM(B75:Y75)</f>
        <v>5.25</v>
      </c>
      <c r="E72" s="363" t="s">
        <v>114</v>
      </c>
      <c r="F72" s="354">
        <f>D72/g/J72</f>
        <v>89.1946992864424</v>
      </c>
      <c r="G72" s="363" t="s">
        <v>56</v>
      </c>
      <c r="H72" s="64">
        <v>0.02</v>
      </c>
      <c r="I72" s="363" t="s">
        <v>273</v>
      </c>
      <c r="J72" s="355">
        <f>H72-L72</f>
        <v>6.0000000000000001E-3</v>
      </c>
      <c r="K72" s="363" t="s">
        <v>274</v>
      </c>
      <c r="L72" s="64">
        <v>1.4E-2</v>
      </c>
      <c r="M72" s="363" t="s">
        <v>57</v>
      </c>
      <c r="N72" s="65">
        <v>30</v>
      </c>
      <c r="O72" s="363" t="s">
        <v>59</v>
      </c>
      <c r="P72" s="65">
        <v>30</v>
      </c>
      <c r="Q72" s="363" t="s">
        <v>60</v>
      </c>
      <c r="R72" s="65">
        <v>70</v>
      </c>
      <c r="S72" s="363" t="s">
        <v>61</v>
      </c>
      <c r="T72" s="65">
        <v>15</v>
      </c>
      <c r="U72" s="363" t="s">
        <v>54</v>
      </c>
      <c r="V72" s="66" t="s">
        <v>117</v>
      </c>
      <c r="W72" s="463" t="s">
        <v>396</v>
      </c>
      <c r="X72" s="465">
        <v>1.2</v>
      </c>
      <c r="Y72" s="463" t="s">
        <v>395</v>
      </c>
      <c r="Z72" s="358">
        <v>4</v>
      </c>
    </row>
    <row r="73" spans="1:26" x14ac:dyDescent="0.3">
      <c r="A73" s="362" t="s">
        <v>33</v>
      </c>
      <c r="B73" s="370">
        <v>0</v>
      </c>
      <c r="C73" s="371">
        <v>0.2</v>
      </c>
      <c r="D73" s="371">
        <v>0.3</v>
      </c>
      <c r="E73" s="371">
        <v>0.55000000000000004</v>
      </c>
      <c r="F73" s="371">
        <v>1.05</v>
      </c>
      <c r="G73" s="371">
        <v>1.1499999999999999</v>
      </c>
      <c r="H73" s="371">
        <v>1.1499999999999999</v>
      </c>
      <c r="I73" s="371">
        <v>1.1499999999999999</v>
      </c>
      <c r="J73" s="371">
        <v>1.1499999999999999</v>
      </c>
      <c r="K73" s="371">
        <v>1.1499999999999999</v>
      </c>
      <c r="L73" s="371">
        <v>1.1499999999999999</v>
      </c>
      <c r="M73" s="371">
        <v>1.1499999999999999</v>
      </c>
      <c r="N73" s="371">
        <v>1.1499999999999999</v>
      </c>
      <c r="O73" s="371">
        <v>1.1499999999999999</v>
      </c>
      <c r="P73" s="371">
        <v>1.1499999999999999</v>
      </c>
      <c r="Q73" s="371">
        <v>1.1499999999999999</v>
      </c>
      <c r="R73" s="371">
        <v>1.1499999999999999</v>
      </c>
      <c r="S73" s="371">
        <v>1.1499999999999999</v>
      </c>
      <c r="T73" s="371">
        <v>1.1499999999999999</v>
      </c>
      <c r="U73" s="371">
        <v>1.1499999999999999</v>
      </c>
      <c r="V73" s="371">
        <v>1.1499999999999999</v>
      </c>
      <c r="W73" s="371">
        <v>1.1499999999999999</v>
      </c>
      <c r="X73" s="371">
        <v>1.1499999999999999</v>
      </c>
      <c r="Y73" s="381">
        <v>1000</v>
      </c>
    </row>
    <row r="74" spans="1:26" x14ac:dyDescent="0.3">
      <c r="A74" s="378" t="s">
        <v>34</v>
      </c>
      <c r="B74" s="372">
        <v>0</v>
      </c>
      <c r="C74" s="373">
        <v>10</v>
      </c>
      <c r="D74" s="373">
        <v>6</v>
      </c>
      <c r="E74" s="373">
        <v>4</v>
      </c>
      <c r="F74" s="373">
        <v>4</v>
      </c>
      <c r="G74" s="373">
        <v>0</v>
      </c>
      <c r="H74" s="373">
        <v>0</v>
      </c>
      <c r="I74" s="373">
        <v>0</v>
      </c>
      <c r="J74" s="373">
        <v>0</v>
      </c>
      <c r="K74" s="373">
        <v>0</v>
      </c>
      <c r="L74" s="373">
        <v>0</v>
      </c>
      <c r="M74" s="373">
        <v>0</v>
      </c>
      <c r="N74" s="373">
        <v>0</v>
      </c>
      <c r="O74" s="373">
        <v>0</v>
      </c>
      <c r="P74" s="373">
        <v>0</v>
      </c>
      <c r="Q74" s="373">
        <v>0</v>
      </c>
      <c r="R74" s="373">
        <v>0</v>
      </c>
      <c r="S74" s="373">
        <v>0</v>
      </c>
      <c r="T74" s="373">
        <v>0</v>
      </c>
      <c r="U74" s="373">
        <v>0</v>
      </c>
      <c r="V74" s="373">
        <v>0</v>
      </c>
      <c r="W74" s="373">
        <v>0</v>
      </c>
      <c r="X74" s="373">
        <v>0</v>
      </c>
      <c r="Y74" s="382">
        <v>0</v>
      </c>
    </row>
    <row r="75" spans="1:26" ht="12.9" thickBot="1" x14ac:dyDescent="0.35">
      <c r="A75" s="379" t="s">
        <v>116</v>
      </c>
      <c r="B75" s="374">
        <f t="shared" ref="B75:V75" si="11">(C74+B74)*(C73-B73)/2</f>
        <v>1</v>
      </c>
      <c r="C75" s="375">
        <f t="shared" si="11"/>
        <v>0.79999999999999982</v>
      </c>
      <c r="D75" s="375">
        <f t="shared" si="11"/>
        <v>1.2500000000000002</v>
      </c>
      <c r="E75" s="375">
        <f t="shared" si="11"/>
        <v>2</v>
      </c>
      <c r="F75" s="375">
        <f t="shared" si="11"/>
        <v>0.19999999999999973</v>
      </c>
      <c r="G75" s="375">
        <f t="shared" si="11"/>
        <v>0</v>
      </c>
      <c r="H75" s="375">
        <f t="shared" si="11"/>
        <v>0</v>
      </c>
      <c r="I75" s="375">
        <f t="shared" si="11"/>
        <v>0</v>
      </c>
      <c r="J75" s="375">
        <f>(K74+J74)*(K73-J73)/2</f>
        <v>0</v>
      </c>
      <c r="K75" s="375">
        <f t="shared" si="11"/>
        <v>0</v>
      </c>
      <c r="L75" s="375">
        <f t="shared" si="11"/>
        <v>0</v>
      </c>
      <c r="M75" s="375">
        <f t="shared" si="11"/>
        <v>0</v>
      </c>
      <c r="N75" s="375">
        <f t="shared" si="11"/>
        <v>0</v>
      </c>
      <c r="O75" s="375">
        <f t="shared" si="11"/>
        <v>0</v>
      </c>
      <c r="P75" s="375">
        <f t="shared" si="11"/>
        <v>0</v>
      </c>
      <c r="Q75" s="375">
        <f t="shared" si="11"/>
        <v>0</v>
      </c>
      <c r="R75" s="375">
        <f t="shared" si="11"/>
        <v>0</v>
      </c>
      <c r="S75" s="375">
        <f>(T74+S74)*(T73-S73)/2</f>
        <v>0</v>
      </c>
      <c r="T75" s="375">
        <f t="shared" si="11"/>
        <v>0</v>
      </c>
      <c r="U75" s="375">
        <f t="shared" si="11"/>
        <v>0</v>
      </c>
      <c r="V75" s="375">
        <f t="shared" si="11"/>
        <v>0</v>
      </c>
      <c r="W75" s="375">
        <f>(X74+W74)*(X73-W73)/2</f>
        <v>0</v>
      </c>
      <c r="X75" s="375">
        <f>(Y74+X74)*(Y73-X73)/2</f>
        <v>0</v>
      </c>
      <c r="Y75" s="369"/>
    </row>
    <row r="76" spans="1:26" ht="12.9" thickBot="1" x14ac:dyDescent="0.35">
      <c r="B76" s="12"/>
      <c r="C76" s="12"/>
      <c r="D76" s="12"/>
      <c r="E76" s="12"/>
      <c r="F76" s="12"/>
      <c r="G76" s="12"/>
      <c r="H76" s="12"/>
      <c r="I76" s="12"/>
      <c r="J76" s="12"/>
      <c r="K76" s="12"/>
      <c r="L76" s="12"/>
      <c r="M76" s="12"/>
      <c r="N76" s="12"/>
      <c r="O76" s="12"/>
      <c r="P76" s="12"/>
      <c r="Q76" s="12"/>
      <c r="R76" s="12"/>
      <c r="S76" s="12"/>
      <c r="T76" s="12"/>
      <c r="U76" s="12"/>
      <c r="V76" s="12"/>
      <c r="W76" s="12"/>
      <c r="X76" s="12"/>
      <c r="Y76" s="12"/>
    </row>
    <row r="77" spans="1:26" ht="12.9" thickBot="1" x14ac:dyDescent="0.35">
      <c r="A77" s="361" t="s">
        <v>113</v>
      </c>
      <c r="B77" s="359">
        <f>ROW(A77)</f>
        <v>77</v>
      </c>
      <c r="C77" s="363" t="s">
        <v>115</v>
      </c>
      <c r="D77" s="353">
        <f>SUM(B80:Y80)</f>
        <v>10.26</v>
      </c>
      <c r="E77" s="363" t="s">
        <v>114</v>
      </c>
      <c r="F77" s="354">
        <f>D77/g/J77</f>
        <v>80.451658433309802</v>
      </c>
      <c r="G77" s="363" t="s">
        <v>56</v>
      </c>
      <c r="H77" s="64">
        <v>2.4E-2</v>
      </c>
      <c r="I77" s="363" t="s">
        <v>273</v>
      </c>
      <c r="J77" s="355">
        <f>H77-L77</f>
        <v>1.3000000000000001E-2</v>
      </c>
      <c r="K77" s="363" t="s">
        <v>274</v>
      </c>
      <c r="L77" s="64">
        <v>1.0999999999999999E-2</v>
      </c>
      <c r="M77" s="363" t="s">
        <v>57</v>
      </c>
      <c r="N77" s="65">
        <v>30</v>
      </c>
      <c r="O77" s="363" t="s">
        <v>59</v>
      </c>
      <c r="P77" s="65">
        <v>30</v>
      </c>
      <c r="Q77" s="363" t="s">
        <v>60</v>
      </c>
      <c r="R77" s="65">
        <v>70</v>
      </c>
      <c r="S77" s="363" t="s">
        <v>61</v>
      </c>
      <c r="T77" s="65">
        <v>15</v>
      </c>
      <c r="U77" s="363" t="s">
        <v>54</v>
      </c>
      <c r="V77" s="66" t="s">
        <v>117</v>
      </c>
      <c r="W77" s="463" t="s">
        <v>396</v>
      </c>
      <c r="X77" s="465">
        <v>1.7</v>
      </c>
      <c r="Y77" s="463" t="s">
        <v>395</v>
      </c>
      <c r="Z77" s="358">
        <v>3</v>
      </c>
    </row>
    <row r="78" spans="1:26" x14ac:dyDescent="0.3">
      <c r="A78" s="362" t="s">
        <v>33</v>
      </c>
      <c r="B78" s="370">
        <v>0</v>
      </c>
      <c r="C78" s="371">
        <v>0.2</v>
      </c>
      <c r="D78" s="371">
        <v>0.3</v>
      </c>
      <c r="E78" s="371">
        <v>0.6</v>
      </c>
      <c r="F78" s="371">
        <v>0.8</v>
      </c>
      <c r="G78" s="371">
        <v>2</v>
      </c>
      <c r="H78" s="371">
        <v>2.1</v>
      </c>
      <c r="I78" s="371">
        <v>2.1</v>
      </c>
      <c r="J78" s="371">
        <v>2.1</v>
      </c>
      <c r="K78" s="371">
        <v>2.1</v>
      </c>
      <c r="L78" s="371">
        <v>2.1</v>
      </c>
      <c r="M78" s="371">
        <v>2.1</v>
      </c>
      <c r="N78" s="371">
        <v>2.1</v>
      </c>
      <c r="O78" s="371">
        <v>2.1</v>
      </c>
      <c r="P78" s="371">
        <v>2.1</v>
      </c>
      <c r="Q78" s="371">
        <v>2.1</v>
      </c>
      <c r="R78" s="371">
        <v>2.1</v>
      </c>
      <c r="S78" s="371">
        <v>2.1</v>
      </c>
      <c r="T78" s="371">
        <v>2.1</v>
      </c>
      <c r="U78" s="371">
        <v>2.1</v>
      </c>
      <c r="V78" s="371">
        <v>2.1</v>
      </c>
      <c r="W78" s="371">
        <v>2.1</v>
      </c>
      <c r="X78" s="371">
        <v>2.1</v>
      </c>
      <c r="Y78" s="381">
        <v>1000</v>
      </c>
    </row>
    <row r="79" spans="1:26" x14ac:dyDescent="0.3">
      <c r="A79" s="378" t="s">
        <v>34</v>
      </c>
      <c r="B79" s="372">
        <v>0</v>
      </c>
      <c r="C79" s="373">
        <v>11</v>
      </c>
      <c r="D79" s="373">
        <v>7</v>
      </c>
      <c r="E79" s="373">
        <v>4</v>
      </c>
      <c r="F79" s="373">
        <v>4.5999999999999996</v>
      </c>
      <c r="G79" s="373">
        <v>4.5999999999999996</v>
      </c>
      <c r="H79" s="373">
        <v>0</v>
      </c>
      <c r="I79" s="373">
        <v>0</v>
      </c>
      <c r="J79" s="373">
        <v>0</v>
      </c>
      <c r="K79" s="373">
        <v>0</v>
      </c>
      <c r="L79" s="373">
        <v>0</v>
      </c>
      <c r="M79" s="373">
        <v>0</v>
      </c>
      <c r="N79" s="373">
        <v>0</v>
      </c>
      <c r="O79" s="373">
        <v>0</v>
      </c>
      <c r="P79" s="373">
        <v>0</v>
      </c>
      <c r="Q79" s="373">
        <v>0</v>
      </c>
      <c r="R79" s="373">
        <v>0</v>
      </c>
      <c r="S79" s="373">
        <v>0</v>
      </c>
      <c r="T79" s="373">
        <v>0</v>
      </c>
      <c r="U79" s="373">
        <v>0</v>
      </c>
      <c r="V79" s="373">
        <v>0</v>
      </c>
      <c r="W79" s="373">
        <v>0</v>
      </c>
      <c r="X79" s="373">
        <v>0</v>
      </c>
      <c r="Y79" s="382">
        <v>0</v>
      </c>
    </row>
    <row r="80" spans="1:26" ht="12.9" thickBot="1" x14ac:dyDescent="0.35">
      <c r="A80" s="379" t="s">
        <v>116</v>
      </c>
      <c r="B80" s="374">
        <f t="shared" ref="B80:G80" si="12">(C79+B79)*(C78-B78)/2</f>
        <v>1.1000000000000001</v>
      </c>
      <c r="C80" s="375">
        <f t="shared" si="12"/>
        <v>0.8999999999999998</v>
      </c>
      <c r="D80" s="375">
        <f t="shared" si="12"/>
        <v>1.65</v>
      </c>
      <c r="E80" s="375">
        <f t="shared" si="12"/>
        <v>0.86000000000000021</v>
      </c>
      <c r="F80" s="375">
        <f t="shared" si="12"/>
        <v>5.52</v>
      </c>
      <c r="G80" s="375">
        <f t="shared" si="12"/>
        <v>0.23000000000000018</v>
      </c>
      <c r="H80" s="375">
        <f t="shared" ref="H80:V80" si="13">(I79+H79)*(I78-H78)/2</f>
        <v>0</v>
      </c>
      <c r="I80" s="375">
        <f t="shared" si="13"/>
        <v>0</v>
      </c>
      <c r="J80" s="375">
        <f>(K79+J79)*(K78-J78)/2</f>
        <v>0</v>
      </c>
      <c r="K80" s="375">
        <f t="shared" si="13"/>
        <v>0</v>
      </c>
      <c r="L80" s="375">
        <f t="shared" si="13"/>
        <v>0</v>
      </c>
      <c r="M80" s="375">
        <f t="shared" si="13"/>
        <v>0</v>
      </c>
      <c r="N80" s="375">
        <f t="shared" si="13"/>
        <v>0</v>
      </c>
      <c r="O80" s="375">
        <f t="shared" si="13"/>
        <v>0</v>
      </c>
      <c r="P80" s="375">
        <f t="shared" si="13"/>
        <v>0</v>
      </c>
      <c r="Q80" s="375">
        <f t="shared" si="13"/>
        <v>0</v>
      </c>
      <c r="R80" s="375">
        <f t="shared" si="13"/>
        <v>0</v>
      </c>
      <c r="S80" s="375">
        <f>(T79+S79)*(T78-S78)/2</f>
        <v>0</v>
      </c>
      <c r="T80" s="375">
        <f t="shared" si="13"/>
        <v>0</v>
      </c>
      <c r="U80" s="375">
        <f t="shared" si="13"/>
        <v>0</v>
      </c>
      <c r="V80" s="375">
        <f t="shared" si="13"/>
        <v>0</v>
      </c>
      <c r="W80" s="375">
        <f>(X79+W79)*(X78-W78)/2</f>
        <v>0</v>
      </c>
      <c r="X80" s="375">
        <f>(Y79+X79)*(Y78-X78)/2</f>
        <v>0</v>
      </c>
      <c r="Y80" s="369"/>
    </row>
    <row r="81" spans="1:26" ht="12.9" thickBot="1" x14ac:dyDescent="0.35">
      <c r="A81" s="12"/>
      <c r="L81" s="12"/>
      <c r="M81" s="12"/>
      <c r="N81" s="12"/>
      <c r="O81" s="12"/>
      <c r="P81" s="12"/>
      <c r="Q81" s="12"/>
      <c r="R81" s="12"/>
      <c r="S81" s="12"/>
      <c r="T81" s="12"/>
      <c r="U81" s="12"/>
      <c r="V81" s="12"/>
      <c r="W81" s="12"/>
      <c r="X81" s="12"/>
      <c r="Y81" s="12"/>
    </row>
    <row r="82" spans="1:26" ht="12.9" thickBot="1" x14ac:dyDescent="0.35">
      <c r="A82" s="361" t="s">
        <v>331</v>
      </c>
      <c r="B82" s="359">
        <f>ROW(A82)</f>
        <v>82</v>
      </c>
      <c r="C82" s="363" t="s">
        <v>115</v>
      </c>
      <c r="D82" s="353">
        <f>SUM(B85:Y85)</f>
        <v>20.52</v>
      </c>
      <c r="E82" s="363" t="s">
        <v>114</v>
      </c>
      <c r="F82" s="354">
        <f>D82/g/J82</f>
        <v>80.451658433309802</v>
      </c>
      <c r="G82" s="363" t="s">
        <v>56</v>
      </c>
      <c r="H82" s="64">
        <f>H77*2</f>
        <v>4.8000000000000001E-2</v>
      </c>
      <c r="I82" s="363" t="s">
        <v>273</v>
      </c>
      <c r="J82" s="355">
        <f>H82-L82</f>
        <v>2.6000000000000002E-2</v>
      </c>
      <c r="K82" s="363" t="s">
        <v>274</v>
      </c>
      <c r="L82" s="64">
        <f>L77*2</f>
        <v>2.1999999999999999E-2</v>
      </c>
      <c r="M82" s="363" t="s">
        <v>57</v>
      </c>
      <c r="N82" s="65">
        <v>30</v>
      </c>
      <c r="O82" s="363" t="s">
        <v>59</v>
      </c>
      <c r="P82" s="65">
        <v>30</v>
      </c>
      <c r="Q82" s="363" t="s">
        <v>60</v>
      </c>
      <c r="R82" s="65">
        <v>70</v>
      </c>
      <c r="S82" s="363" t="s">
        <v>61</v>
      </c>
      <c r="T82" s="65">
        <v>30</v>
      </c>
      <c r="U82" s="363" t="s">
        <v>54</v>
      </c>
      <c r="V82" s="66" t="s">
        <v>117</v>
      </c>
      <c r="W82" s="463" t="s">
        <v>396</v>
      </c>
      <c r="X82" s="465">
        <v>1.7</v>
      </c>
      <c r="Y82" s="463" t="s">
        <v>395</v>
      </c>
      <c r="Z82" s="358">
        <v>3</v>
      </c>
    </row>
    <row r="83" spans="1:26" x14ac:dyDescent="0.3">
      <c r="A83" s="362" t="s">
        <v>33</v>
      </c>
      <c r="B83" s="370">
        <v>0</v>
      </c>
      <c r="C83" s="371">
        <v>0.2</v>
      </c>
      <c r="D83" s="371">
        <v>0.3</v>
      </c>
      <c r="E83" s="371">
        <v>0.6</v>
      </c>
      <c r="F83" s="371">
        <v>0.8</v>
      </c>
      <c r="G83" s="371">
        <v>2</v>
      </c>
      <c r="H83" s="371">
        <v>2.1</v>
      </c>
      <c r="I83" s="371">
        <v>2.1</v>
      </c>
      <c r="J83" s="371">
        <v>2.1</v>
      </c>
      <c r="K83" s="371">
        <v>2.1</v>
      </c>
      <c r="L83" s="371">
        <v>2.1</v>
      </c>
      <c r="M83" s="371">
        <v>2.1</v>
      </c>
      <c r="N83" s="371">
        <v>2.1</v>
      </c>
      <c r="O83" s="371">
        <v>2.1</v>
      </c>
      <c r="P83" s="371">
        <v>2.1</v>
      </c>
      <c r="Q83" s="371">
        <v>2.1</v>
      </c>
      <c r="R83" s="371">
        <v>2.1</v>
      </c>
      <c r="S83" s="371">
        <v>2.1</v>
      </c>
      <c r="T83" s="371">
        <v>2.1</v>
      </c>
      <c r="U83" s="371">
        <v>2.1</v>
      </c>
      <c r="V83" s="371">
        <v>2.1</v>
      </c>
      <c r="W83" s="371">
        <v>2.1</v>
      </c>
      <c r="X83" s="371">
        <v>2.1</v>
      </c>
      <c r="Y83" s="381">
        <v>1000</v>
      </c>
    </row>
    <row r="84" spans="1:26" x14ac:dyDescent="0.3">
      <c r="A84" s="378" t="s">
        <v>34</v>
      </c>
      <c r="B84" s="372">
        <f>B79*2</f>
        <v>0</v>
      </c>
      <c r="C84" s="373">
        <f t="shared" ref="C84:X84" si="14">C79*2</f>
        <v>22</v>
      </c>
      <c r="D84" s="373">
        <f t="shared" si="14"/>
        <v>14</v>
      </c>
      <c r="E84" s="373">
        <f t="shared" si="14"/>
        <v>8</v>
      </c>
      <c r="F84" s="373">
        <f t="shared" si="14"/>
        <v>9.1999999999999993</v>
      </c>
      <c r="G84" s="373">
        <f t="shared" si="14"/>
        <v>9.1999999999999993</v>
      </c>
      <c r="H84" s="373">
        <f t="shared" si="14"/>
        <v>0</v>
      </c>
      <c r="I84" s="373">
        <f t="shared" si="14"/>
        <v>0</v>
      </c>
      <c r="J84" s="373">
        <f t="shared" si="14"/>
        <v>0</v>
      </c>
      <c r="K84" s="373">
        <f t="shared" si="14"/>
        <v>0</v>
      </c>
      <c r="L84" s="373">
        <f t="shared" si="14"/>
        <v>0</v>
      </c>
      <c r="M84" s="373">
        <f t="shared" si="14"/>
        <v>0</v>
      </c>
      <c r="N84" s="373">
        <f t="shared" si="14"/>
        <v>0</v>
      </c>
      <c r="O84" s="373">
        <f t="shared" si="14"/>
        <v>0</v>
      </c>
      <c r="P84" s="373">
        <f t="shared" si="14"/>
        <v>0</v>
      </c>
      <c r="Q84" s="373">
        <f t="shared" si="14"/>
        <v>0</v>
      </c>
      <c r="R84" s="373">
        <f t="shared" si="14"/>
        <v>0</v>
      </c>
      <c r="S84" s="373">
        <f t="shared" si="14"/>
        <v>0</v>
      </c>
      <c r="T84" s="373">
        <f t="shared" si="14"/>
        <v>0</v>
      </c>
      <c r="U84" s="373">
        <f t="shared" si="14"/>
        <v>0</v>
      </c>
      <c r="V84" s="373">
        <f t="shared" si="14"/>
        <v>0</v>
      </c>
      <c r="W84" s="373">
        <f t="shared" si="14"/>
        <v>0</v>
      </c>
      <c r="X84" s="373">
        <f t="shared" si="14"/>
        <v>0</v>
      </c>
      <c r="Y84" s="382">
        <v>0</v>
      </c>
    </row>
    <row r="85" spans="1:26" ht="12.9" thickBot="1" x14ac:dyDescent="0.35">
      <c r="A85" s="379" t="s">
        <v>116</v>
      </c>
      <c r="B85" s="374">
        <f t="shared" ref="B85:X85" si="15">(C84+B84)*(C83-B83)/2</f>
        <v>2.2000000000000002</v>
      </c>
      <c r="C85" s="375">
        <f t="shared" si="15"/>
        <v>1.7999999999999996</v>
      </c>
      <c r="D85" s="375">
        <f t="shared" si="15"/>
        <v>3.3</v>
      </c>
      <c r="E85" s="375">
        <f t="shared" si="15"/>
        <v>1.7200000000000004</v>
      </c>
      <c r="F85" s="375">
        <f t="shared" si="15"/>
        <v>11.04</v>
      </c>
      <c r="G85" s="375">
        <f t="shared" si="15"/>
        <v>0.46000000000000035</v>
      </c>
      <c r="H85" s="375">
        <f t="shared" si="15"/>
        <v>0</v>
      </c>
      <c r="I85" s="375">
        <f t="shared" si="15"/>
        <v>0</v>
      </c>
      <c r="J85" s="375">
        <f t="shared" si="15"/>
        <v>0</v>
      </c>
      <c r="K85" s="375">
        <f t="shared" si="15"/>
        <v>0</v>
      </c>
      <c r="L85" s="375">
        <f t="shared" si="15"/>
        <v>0</v>
      </c>
      <c r="M85" s="375">
        <f t="shared" si="15"/>
        <v>0</v>
      </c>
      <c r="N85" s="375">
        <f t="shared" si="15"/>
        <v>0</v>
      </c>
      <c r="O85" s="375">
        <f t="shared" si="15"/>
        <v>0</v>
      </c>
      <c r="P85" s="375">
        <f t="shared" si="15"/>
        <v>0</v>
      </c>
      <c r="Q85" s="375">
        <f t="shared" si="15"/>
        <v>0</v>
      </c>
      <c r="R85" s="375">
        <f t="shared" si="15"/>
        <v>0</v>
      </c>
      <c r="S85" s="375">
        <f t="shared" si="15"/>
        <v>0</v>
      </c>
      <c r="T85" s="375">
        <f t="shared" si="15"/>
        <v>0</v>
      </c>
      <c r="U85" s="375">
        <f t="shared" si="15"/>
        <v>0</v>
      </c>
      <c r="V85" s="375">
        <f t="shared" si="15"/>
        <v>0</v>
      </c>
      <c r="W85" s="375">
        <f t="shared" si="15"/>
        <v>0</v>
      </c>
      <c r="X85" s="375">
        <f t="shared" si="15"/>
        <v>0</v>
      </c>
      <c r="Y85" s="369"/>
    </row>
    <row r="86" spans="1:26" ht="12.9" thickBot="1" x14ac:dyDescent="0.35">
      <c r="B86" s="12"/>
      <c r="C86" s="12"/>
      <c r="D86" s="12"/>
      <c r="E86" s="12"/>
      <c r="F86" s="12"/>
      <c r="G86" s="12"/>
      <c r="H86" s="12"/>
      <c r="I86" s="12"/>
      <c r="J86" s="12"/>
      <c r="K86" s="12"/>
      <c r="L86" s="12"/>
      <c r="M86" s="12"/>
      <c r="N86" s="12"/>
      <c r="O86" s="12"/>
      <c r="P86" s="12"/>
      <c r="Q86" s="12"/>
      <c r="R86" s="12"/>
      <c r="S86" s="12"/>
      <c r="T86" s="12"/>
      <c r="U86" s="12"/>
      <c r="V86" s="12"/>
      <c r="W86" s="12"/>
      <c r="X86" s="12"/>
      <c r="Y86" s="12"/>
    </row>
    <row r="87" spans="1:26" ht="12.9" thickBot="1" x14ac:dyDescent="0.35">
      <c r="A87" s="361" t="s">
        <v>332</v>
      </c>
      <c r="B87" s="359">
        <f>ROW(A87)</f>
        <v>87</v>
      </c>
      <c r="C87" s="363" t="s">
        <v>115</v>
      </c>
      <c r="D87" s="353">
        <f>SUM(B90:Y90)</f>
        <v>30.779999999999998</v>
      </c>
      <c r="E87" s="363" t="s">
        <v>114</v>
      </c>
      <c r="F87" s="354">
        <f>D87/g/J87</f>
        <v>80.451658433309774</v>
      </c>
      <c r="G87" s="363" t="s">
        <v>56</v>
      </c>
      <c r="H87" s="64">
        <f>H77*3</f>
        <v>7.2000000000000008E-2</v>
      </c>
      <c r="I87" s="363" t="s">
        <v>273</v>
      </c>
      <c r="J87" s="355">
        <f>H87-L87</f>
        <v>3.9000000000000007E-2</v>
      </c>
      <c r="K87" s="363" t="s">
        <v>274</v>
      </c>
      <c r="L87" s="64">
        <f>L77*3</f>
        <v>3.3000000000000002E-2</v>
      </c>
      <c r="M87" s="363" t="s">
        <v>57</v>
      </c>
      <c r="N87" s="65">
        <v>30</v>
      </c>
      <c r="O87" s="363" t="s">
        <v>59</v>
      </c>
      <c r="P87" s="65">
        <v>30</v>
      </c>
      <c r="Q87" s="363" t="s">
        <v>60</v>
      </c>
      <c r="R87" s="65">
        <v>70</v>
      </c>
      <c r="S87" s="363" t="s">
        <v>61</v>
      </c>
      <c r="T87" s="65">
        <v>40</v>
      </c>
      <c r="U87" s="363" t="s">
        <v>54</v>
      </c>
      <c r="V87" s="66" t="s">
        <v>117</v>
      </c>
      <c r="W87" s="463" t="s">
        <v>396</v>
      </c>
      <c r="X87" s="465">
        <v>1.7</v>
      </c>
      <c r="Y87" s="463" t="s">
        <v>395</v>
      </c>
      <c r="Z87" s="358">
        <v>3</v>
      </c>
    </row>
    <row r="88" spans="1:26" x14ac:dyDescent="0.3">
      <c r="A88" s="362" t="s">
        <v>33</v>
      </c>
      <c r="B88" s="370">
        <v>0</v>
      </c>
      <c r="C88" s="371">
        <v>0.2</v>
      </c>
      <c r="D88" s="371">
        <v>0.3</v>
      </c>
      <c r="E88" s="371">
        <v>0.6</v>
      </c>
      <c r="F88" s="371">
        <v>0.8</v>
      </c>
      <c r="G88" s="371">
        <v>2</v>
      </c>
      <c r="H88" s="371">
        <v>2.1</v>
      </c>
      <c r="I88" s="371">
        <v>2.1</v>
      </c>
      <c r="J88" s="371">
        <v>2.1</v>
      </c>
      <c r="K88" s="371">
        <v>2.1</v>
      </c>
      <c r="L88" s="371">
        <v>2.1</v>
      </c>
      <c r="M88" s="371">
        <v>2.1</v>
      </c>
      <c r="N88" s="371">
        <v>2.1</v>
      </c>
      <c r="O88" s="371">
        <v>2.1</v>
      </c>
      <c r="P88" s="371">
        <v>2.1</v>
      </c>
      <c r="Q88" s="371">
        <v>2.1</v>
      </c>
      <c r="R88" s="371">
        <v>2.1</v>
      </c>
      <c r="S88" s="371">
        <v>2.1</v>
      </c>
      <c r="T88" s="371">
        <v>2.1</v>
      </c>
      <c r="U88" s="371">
        <v>2.1</v>
      </c>
      <c r="V88" s="371">
        <v>2.1</v>
      </c>
      <c r="W88" s="371">
        <v>2.1</v>
      </c>
      <c r="X88" s="371">
        <v>2.1</v>
      </c>
      <c r="Y88" s="381">
        <v>1000</v>
      </c>
    </row>
    <row r="89" spans="1:26" x14ac:dyDescent="0.3">
      <c r="A89" s="378" t="s">
        <v>34</v>
      </c>
      <c r="B89" s="372">
        <f>B79*3</f>
        <v>0</v>
      </c>
      <c r="C89" s="373">
        <f t="shared" ref="C89:X89" si="16">C79*3</f>
        <v>33</v>
      </c>
      <c r="D89" s="373">
        <f t="shared" si="16"/>
        <v>21</v>
      </c>
      <c r="E89" s="373">
        <f t="shared" si="16"/>
        <v>12</v>
      </c>
      <c r="F89" s="373">
        <f t="shared" si="16"/>
        <v>13.799999999999999</v>
      </c>
      <c r="G89" s="373">
        <f t="shared" si="16"/>
        <v>13.799999999999999</v>
      </c>
      <c r="H89" s="373">
        <f t="shared" si="16"/>
        <v>0</v>
      </c>
      <c r="I89" s="373">
        <f t="shared" si="16"/>
        <v>0</v>
      </c>
      <c r="J89" s="373">
        <f t="shared" si="16"/>
        <v>0</v>
      </c>
      <c r="K89" s="373">
        <f t="shared" si="16"/>
        <v>0</v>
      </c>
      <c r="L89" s="373">
        <f t="shared" si="16"/>
        <v>0</v>
      </c>
      <c r="M89" s="373">
        <f t="shared" si="16"/>
        <v>0</v>
      </c>
      <c r="N89" s="373">
        <f t="shared" si="16"/>
        <v>0</v>
      </c>
      <c r="O89" s="373">
        <f t="shared" si="16"/>
        <v>0</v>
      </c>
      <c r="P89" s="373">
        <f t="shared" si="16"/>
        <v>0</v>
      </c>
      <c r="Q89" s="373">
        <f t="shared" si="16"/>
        <v>0</v>
      </c>
      <c r="R89" s="373">
        <f t="shared" si="16"/>
        <v>0</v>
      </c>
      <c r="S89" s="373">
        <f t="shared" si="16"/>
        <v>0</v>
      </c>
      <c r="T89" s="373">
        <f t="shared" si="16"/>
        <v>0</v>
      </c>
      <c r="U89" s="373">
        <f t="shared" si="16"/>
        <v>0</v>
      </c>
      <c r="V89" s="373">
        <f t="shared" si="16"/>
        <v>0</v>
      </c>
      <c r="W89" s="373">
        <f t="shared" si="16"/>
        <v>0</v>
      </c>
      <c r="X89" s="373">
        <f t="shared" si="16"/>
        <v>0</v>
      </c>
      <c r="Y89" s="382">
        <v>0</v>
      </c>
    </row>
    <row r="90" spans="1:26" ht="12.9" thickBot="1" x14ac:dyDescent="0.35">
      <c r="A90" s="379" t="s">
        <v>116</v>
      </c>
      <c r="B90" s="374">
        <f t="shared" ref="B90:X90" si="17">(C89+B89)*(C88-B88)/2</f>
        <v>3.3000000000000003</v>
      </c>
      <c r="C90" s="375">
        <f t="shared" si="17"/>
        <v>2.6999999999999993</v>
      </c>
      <c r="D90" s="375">
        <f t="shared" si="17"/>
        <v>4.95</v>
      </c>
      <c r="E90" s="375">
        <f t="shared" si="17"/>
        <v>2.5800000000000005</v>
      </c>
      <c r="F90" s="375">
        <f t="shared" si="17"/>
        <v>16.559999999999999</v>
      </c>
      <c r="G90" s="375">
        <f t="shared" si="17"/>
        <v>0.69000000000000061</v>
      </c>
      <c r="H90" s="375">
        <f t="shared" si="17"/>
        <v>0</v>
      </c>
      <c r="I90" s="375">
        <f t="shared" si="17"/>
        <v>0</v>
      </c>
      <c r="J90" s="375">
        <f t="shared" si="17"/>
        <v>0</v>
      </c>
      <c r="K90" s="375">
        <f t="shared" si="17"/>
        <v>0</v>
      </c>
      <c r="L90" s="375">
        <f t="shared" si="17"/>
        <v>0</v>
      </c>
      <c r="M90" s="375">
        <f t="shared" si="17"/>
        <v>0</v>
      </c>
      <c r="N90" s="375">
        <f t="shared" si="17"/>
        <v>0</v>
      </c>
      <c r="O90" s="375">
        <f t="shared" si="17"/>
        <v>0</v>
      </c>
      <c r="P90" s="375">
        <f t="shared" si="17"/>
        <v>0</v>
      </c>
      <c r="Q90" s="375">
        <f t="shared" si="17"/>
        <v>0</v>
      </c>
      <c r="R90" s="375">
        <f t="shared" si="17"/>
        <v>0</v>
      </c>
      <c r="S90" s="375">
        <f t="shared" si="17"/>
        <v>0</v>
      </c>
      <c r="T90" s="375">
        <f t="shared" si="17"/>
        <v>0</v>
      </c>
      <c r="U90" s="375">
        <f t="shared" si="17"/>
        <v>0</v>
      </c>
      <c r="V90" s="375">
        <f t="shared" si="17"/>
        <v>0</v>
      </c>
      <c r="W90" s="375">
        <f t="shared" si="17"/>
        <v>0</v>
      </c>
      <c r="X90" s="375">
        <f t="shared" si="17"/>
        <v>0</v>
      </c>
      <c r="Y90" s="369"/>
    </row>
    <row r="91" spans="1:26" ht="12.9" thickBot="1" x14ac:dyDescent="0.35">
      <c r="B91" s="12"/>
      <c r="C91" s="12"/>
      <c r="D91" s="12"/>
      <c r="E91" s="12"/>
      <c r="F91" s="12"/>
      <c r="G91" s="12"/>
      <c r="H91" s="12"/>
      <c r="I91" s="12"/>
      <c r="J91" s="12"/>
      <c r="K91" s="12"/>
      <c r="L91" s="12"/>
      <c r="M91" s="12"/>
      <c r="N91" s="12"/>
      <c r="O91" s="12"/>
      <c r="P91" s="12"/>
      <c r="Q91" s="12"/>
      <c r="R91" s="12"/>
      <c r="S91" s="12"/>
      <c r="T91" s="12"/>
      <c r="U91" s="12"/>
      <c r="V91" s="12"/>
      <c r="W91" s="12"/>
      <c r="X91" s="12"/>
      <c r="Y91" s="12"/>
    </row>
    <row r="92" spans="1:26" ht="12.9" thickBot="1" x14ac:dyDescent="0.35">
      <c r="A92" s="361" t="s">
        <v>543</v>
      </c>
      <c r="B92" s="359">
        <f>ROW(A92)</f>
        <v>92</v>
      </c>
      <c r="C92" s="363" t="s">
        <v>115</v>
      </c>
      <c r="D92" s="353">
        <f>SUM(B95:Y95)</f>
        <v>19.961989000000003</v>
      </c>
      <c r="E92" s="363" t="s">
        <v>114</v>
      </c>
      <c r="F92" s="354">
        <f>D92/g/J92</f>
        <v>118.30588744280873</v>
      </c>
      <c r="G92" s="363" t="s">
        <v>56</v>
      </c>
      <c r="H92" s="64">
        <v>2.8199999999999999E-2</v>
      </c>
      <c r="I92" s="363" t="s">
        <v>273</v>
      </c>
      <c r="J92" s="355">
        <f>H92-L92</f>
        <v>1.72E-2</v>
      </c>
      <c r="K92" s="363" t="s">
        <v>274</v>
      </c>
      <c r="L92" s="64">
        <v>1.0999999999999999E-2</v>
      </c>
      <c r="M92" s="363" t="s">
        <v>57</v>
      </c>
      <c r="N92" s="65">
        <v>30</v>
      </c>
      <c r="O92" s="363" t="s">
        <v>59</v>
      </c>
      <c r="P92" s="65">
        <v>30</v>
      </c>
      <c r="Q92" s="363" t="s">
        <v>60</v>
      </c>
      <c r="R92" s="65">
        <v>70</v>
      </c>
      <c r="S92" s="363" t="s">
        <v>61</v>
      </c>
      <c r="T92" s="65">
        <v>18</v>
      </c>
      <c r="U92" s="363" t="s">
        <v>54</v>
      </c>
      <c r="V92" s="66" t="s">
        <v>403</v>
      </c>
      <c r="W92" s="463" t="s">
        <v>396</v>
      </c>
      <c r="X92" s="465">
        <v>2.1</v>
      </c>
      <c r="Y92" s="463" t="s">
        <v>395</v>
      </c>
      <c r="Z92" s="358">
        <v>7</v>
      </c>
    </row>
    <row r="93" spans="1:26" x14ac:dyDescent="0.3">
      <c r="A93" s="362" t="s">
        <v>33</v>
      </c>
      <c r="B93" s="370">
        <v>0</v>
      </c>
      <c r="C93" s="471">
        <v>0.04</v>
      </c>
      <c r="D93" s="471">
        <v>0.11600000000000001</v>
      </c>
      <c r="E93" s="471">
        <v>0.21299999999999999</v>
      </c>
      <c r="F93" s="471">
        <v>0.28599999999999998</v>
      </c>
      <c r="G93" s="471">
        <v>0.32900000000000001</v>
      </c>
      <c r="H93" s="471">
        <v>0.36899999999999999</v>
      </c>
      <c r="I93" s="471">
        <v>0.42</v>
      </c>
      <c r="J93" s="471">
        <v>0.495</v>
      </c>
      <c r="K93" s="471">
        <v>0.59699999999999998</v>
      </c>
      <c r="L93" s="471">
        <v>1.7110000000000001</v>
      </c>
      <c r="M93" s="471">
        <v>1.8260000000000001</v>
      </c>
      <c r="N93" s="471">
        <v>1.917</v>
      </c>
      <c r="O93" s="471">
        <v>1.9750000000000001</v>
      </c>
      <c r="P93" s="471">
        <v>2.206</v>
      </c>
      <c r="Q93" s="471">
        <v>2.242</v>
      </c>
      <c r="R93" s="371">
        <v>2.5</v>
      </c>
      <c r="S93" s="371">
        <v>2.5</v>
      </c>
      <c r="T93" s="371">
        <v>2.5</v>
      </c>
      <c r="U93" s="371">
        <v>2.5</v>
      </c>
      <c r="V93" s="371">
        <v>2.5</v>
      </c>
      <c r="W93" s="371">
        <v>2.5</v>
      </c>
      <c r="X93" s="371">
        <v>2.5</v>
      </c>
      <c r="Y93" s="381">
        <v>1000</v>
      </c>
    </row>
    <row r="94" spans="1:26" x14ac:dyDescent="0.3">
      <c r="A94" s="378" t="s">
        <v>34</v>
      </c>
      <c r="B94" s="372">
        <v>0</v>
      </c>
      <c r="C94" s="471">
        <v>2.1110000000000002</v>
      </c>
      <c r="D94" s="471">
        <v>9.6850000000000005</v>
      </c>
      <c r="E94" s="471">
        <v>25</v>
      </c>
      <c r="F94" s="471">
        <v>15.738</v>
      </c>
      <c r="G94" s="471">
        <v>12.472</v>
      </c>
      <c r="H94" s="471">
        <v>10.67</v>
      </c>
      <c r="I94" s="471">
        <v>9.7129999999999992</v>
      </c>
      <c r="J94" s="471">
        <v>9.1780000000000008</v>
      </c>
      <c r="K94" s="471">
        <v>8.8960000000000008</v>
      </c>
      <c r="L94" s="471">
        <v>8.9250000000000007</v>
      </c>
      <c r="M94" s="471">
        <v>8.6989999999999998</v>
      </c>
      <c r="N94" s="471">
        <v>8.0519999999999996</v>
      </c>
      <c r="O94" s="471">
        <v>6.9539999999999997</v>
      </c>
      <c r="P94" s="471">
        <v>1.07</v>
      </c>
      <c r="Q94" s="471">
        <v>0</v>
      </c>
      <c r="R94" s="373">
        <v>0</v>
      </c>
      <c r="S94" s="373">
        <v>0</v>
      </c>
      <c r="T94" s="373">
        <v>0</v>
      </c>
      <c r="U94" s="373">
        <v>0</v>
      </c>
      <c r="V94" s="373">
        <v>0</v>
      </c>
      <c r="W94" s="373">
        <v>0</v>
      </c>
      <c r="X94" s="373">
        <v>0</v>
      </c>
      <c r="Y94" s="382">
        <v>0</v>
      </c>
    </row>
    <row r="95" spans="1:26" ht="12.9" thickBot="1" x14ac:dyDescent="0.35">
      <c r="A95" s="379" t="s">
        <v>116</v>
      </c>
      <c r="B95" s="374">
        <f t="shared" ref="B95:X95" si="18">(C94+B94)*(C93-B93)/2</f>
        <v>4.2220000000000008E-2</v>
      </c>
      <c r="C95" s="375">
        <f t="shared" si="18"/>
        <v>0.44824800000000009</v>
      </c>
      <c r="D95" s="375">
        <f t="shared" si="18"/>
        <v>1.6822225</v>
      </c>
      <c r="E95" s="375">
        <f t="shared" si="18"/>
        <v>1.4869369999999995</v>
      </c>
      <c r="F95" s="375">
        <f t="shared" si="18"/>
        <v>0.60651500000000058</v>
      </c>
      <c r="G95" s="375">
        <f t="shared" si="18"/>
        <v>0.46283999999999975</v>
      </c>
      <c r="H95" s="375">
        <f t="shared" si="18"/>
        <v>0.51976649999999991</v>
      </c>
      <c r="I95" s="375">
        <f t="shared" si="18"/>
        <v>0.7084125</v>
      </c>
      <c r="J95" s="375">
        <f t="shared" si="18"/>
        <v>0.92177399999999987</v>
      </c>
      <c r="K95" s="375">
        <f t="shared" si="18"/>
        <v>9.9262970000000017</v>
      </c>
      <c r="L95" s="375">
        <f t="shared" si="18"/>
        <v>1.0133799999999999</v>
      </c>
      <c r="M95" s="375">
        <f t="shared" si="18"/>
        <v>0.76217049999999964</v>
      </c>
      <c r="N95" s="375">
        <f t="shared" si="18"/>
        <v>0.43517400000000039</v>
      </c>
      <c r="O95" s="375">
        <f t="shared" si="18"/>
        <v>0.92677199999999937</v>
      </c>
      <c r="P95" s="375">
        <f t="shared" si="18"/>
        <v>1.9260000000000017E-2</v>
      </c>
      <c r="Q95" s="375">
        <f t="shared" si="18"/>
        <v>0</v>
      </c>
      <c r="R95" s="375">
        <f t="shared" si="18"/>
        <v>0</v>
      </c>
      <c r="S95" s="375">
        <f t="shared" si="18"/>
        <v>0</v>
      </c>
      <c r="T95" s="375">
        <f t="shared" si="18"/>
        <v>0</v>
      </c>
      <c r="U95" s="375">
        <f t="shared" si="18"/>
        <v>0</v>
      </c>
      <c r="V95" s="375">
        <f t="shared" si="18"/>
        <v>0</v>
      </c>
      <c r="W95" s="375">
        <f t="shared" si="18"/>
        <v>0</v>
      </c>
      <c r="X95" s="375">
        <f t="shared" si="18"/>
        <v>0</v>
      </c>
      <c r="Y95" s="369"/>
    </row>
    <row r="96" spans="1:26" ht="12.9" thickBot="1" x14ac:dyDescent="0.35">
      <c r="A96" s="12"/>
      <c r="L96" s="12"/>
      <c r="M96" s="12"/>
      <c r="N96" s="12"/>
      <c r="O96" s="12"/>
      <c r="P96" s="12"/>
      <c r="Q96" s="12"/>
      <c r="R96" s="12"/>
      <c r="S96" s="12"/>
      <c r="T96" s="12"/>
      <c r="U96" s="12"/>
      <c r="V96" s="12"/>
      <c r="W96" s="12"/>
      <c r="X96" s="12"/>
      <c r="Y96" s="12"/>
    </row>
    <row r="97" spans="1:26" ht="12.9" thickBot="1" x14ac:dyDescent="0.35">
      <c r="A97" s="361" t="s">
        <v>541</v>
      </c>
      <c r="B97" s="359">
        <f>ROW(A97)</f>
        <v>97</v>
      </c>
      <c r="C97" s="363" t="s">
        <v>115</v>
      </c>
      <c r="D97" s="353">
        <f>SUM(B100:Y100)</f>
        <v>39.923978000000005</v>
      </c>
      <c r="E97" s="363" t="s">
        <v>114</v>
      </c>
      <c r="F97" s="354">
        <f>D97/g/J97</f>
        <v>118.30588744280873</v>
      </c>
      <c r="G97" s="363" t="s">
        <v>56</v>
      </c>
      <c r="H97" s="64">
        <f>H92*2</f>
        <v>5.6399999999999999E-2</v>
      </c>
      <c r="I97" s="363" t="s">
        <v>273</v>
      </c>
      <c r="J97" s="355">
        <f>H97-L97</f>
        <v>3.44E-2</v>
      </c>
      <c r="K97" s="363" t="s">
        <v>274</v>
      </c>
      <c r="L97" s="64">
        <f>L92*2</f>
        <v>2.1999999999999999E-2</v>
      </c>
      <c r="M97" s="363" t="s">
        <v>57</v>
      </c>
      <c r="N97" s="65">
        <v>30</v>
      </c>
      <c r="O97" s="363" t="s">
        <v>59</v>
      </c>
      <c r="P97" s="65">
        <v>30</v>
      </c>
      <c r="Q97" s="363" t="s">
        <v>60</v>
      </c>
      <c r="R97" s="65">
        <v>70</v>
      </c>
      <c r="S97" s="363" t="s">
        <v>61</v>
      </c>
      <c r="T97" s="65">
        <v>30</v>
      </c>
      <c r="U97" s="363" t="s">
        <v>54</v>
      </c>
      <c r="V97" s="66" t="s">
        <v>403</v>
      </c>
      <c r="W97" s="463" t="s">
        <v>396</v>
      </c>
      <c r="X97" s="465">
        <v>2.1</v>
      </c>
      <c r="Y97" s="463" t="s">
        <v>395</v>
      </c>
      <c r="Z97" s="358">
        <v>7</v>
      </c>
    </row>
    <row r="98" spans="1:26" x14ac:dyDescent="0.3">
      <c r="A98" s="362" t="s">
        <v>33</v>
      </c>
      <c r="B98" s="370">
        <v>0</v>
      </c>
      <c r="C98" s="371">
        <f>C93</f>
        <v>0.04</v>
      </c>
      <c r="D98" s="371">
        <f t="shared" ref="D98:X98" si="19">D93</f>
        <v>0.11600000000000001</v>
      </c>
      <c r="E98" s="371">
        <f t="shared" si="19"/>
        <v>0.21299999999999999</v>
      </c>
      <c r="F98" s="371">
        <f t="shared" si="19"/>
        <v>0.28599999999999998</v>
      </c>
      <c r="G98" s="371">
        <f t="shared" si="19"/>
        <v>0.32900000000000001</v>
      </c>
      <c r="H98" s="371">
        <f t="shared" si="19"/>
        <v>0.36899999999999999</v>
      </c>
      <c r="I98" s="371">
        <f t="shared" si="19"/>
        <v>0.42</v>
      </c>
      <c r="J98" s="371">
        <f t="shared" si="19"/>
        <v>0.495</v>
      </c>
      <c r="K98" s="371">
        <f t="shared" si="19"/>
        <v>0.59699999999999998</v>
      </c>
      <c r="L98" s="371">
        <f t="shared" si="19"/>
        <v>1.7110000000000001</v>
      </c>
      <c r="M98" s="371">
        <f t="shared" si="19"/>
        <v>1.8260000000000001</v>
      </c>
      <c r="N98" s="371">
        <f t="shared" si="19"/>
        <v>1.917</v>
      </c>
      <c r="O98" s="371">
        <f t="shared" si="19"/>
        <v>1.9750000000000001</v>
      </c>
      <c r="P98" s="371">
        <f t="shared" si="19"/>
        <v>2.206</v>
      </c>
      <c r="Q98" s="371">
        <f t="shared" si="19"/>
        <v>2.242</v>
      </c>
      <c r="R98" s="371">
        <f t="shared" si="19"/>
        <v>2.5</v>
      </c>
      <c r="S98" s="371">
        <f>S93</f>
        <v>2.5</v>
      </c>
      <c r="T98" s="371">
        <f t="shared" si="19"/>
        <v>2.5</v>
      </c>
      <c r="U98" s="371">
        <f t="shared" si="19"/>
        <v>2.5</v>
      </c>
      <c r="V98" s="371">
        <f t="shared" si="19"/>
        <v>2.5</v>
      </c>
      <c r="W98" s="371">
        <f t="shared" si="19"/>
        <v>2.5</v>
      </c>
      <c r="X98" s="371">
        <f t="shared" si="19"/>
        <v>2.5</v>
      </c>
      <c r="Y98" s="381">
        <v>1000</v>
      </c>
    </row>
    <row r="99" spans="1:26" x14ac:dyDescent="0.3">
      <c r="A99" s="378" t="s">
        <v>34</v>
      </c>
      <c r="B99" s="372">
        <f>B94*2</f>
        <v>0</v>
      </c>
      <c r="C99" s="373">
        <f t="shared" ref="C99:X99" si="20">C94*2</f>
        <v>4.2220000000000004</v>
      </c>
      <c r="D99" s="373">
        <f t="shared" si="20"/>
        <v>19.37</v>
      </c>
      <c r="E99" s="373">
        <f t="shared" si="20"/>
        <v>50</v>
      </c>
      <c r="F99" s="373">
        <f t="shared" si="20"/>
        <v>31.475999999999999</v>
      </c>
      <c r="G99" s="373">
        <f t="shared" si="20"/>
        <v>24.943999999999999</v>
      </c>
      <c r="H99" s="373">
        <f t="shared" si="20"/>
        <v>21.34</v>
      </c>
      <c r="I99" s="373">
        <f t="shared" si="20"/>
        <v>19.425999999999998</v>
      </c>
      <c r="J99" s="373">
        <f t="shared" si="20"/>
        <v>18.356000000000002</v>
      </c>
      <c r="K99" s="373">
        <f t="shared" si="20"/>
        <v>17.792000000000002</v>
      </c>
      <c r="L99" s="373">
        <f t="shared" si="20"/>
        <v>17.850000000000001</v>
      </c>
      <c r="M99" s="373">
        <f t="shared" si="20"/>
        <v>17.398</v>
      </c>
      <c r="N99" s="373">
        <f t="shared" si="20"/>
        <v>16.103999999999999</v>
      </c>
      <c r="O99" s="373">
        <f t="shared" si="20"/>
        <v>13.907999999999999</v>
      </c>
      <c r="P99" s="373">
        <f t="shared" si="20"/>
        <v>2.14</v>
      </c>
      <c r="Q99" s="373">
        <f t="shared" si="20"/>
        <v>0</v>
      </c>
      <c r="R99" s="373">
        <f t="shared" si="20"/>
        <v>0</v>
      </c>
      <c r="S99" s="373">
        <f t="shared" si="20"/>
        <v>0</v>
      </c>
      <c r="T99" s="373">
        <f t="shared" si="20"/>
        <v>0</v>
      </c>
      <c r="U99" s="373">
        <f t="shared" si="20"/>
        <v>0</v>
      </c>
      <c r="V99" s="373">
        <f t="shared" si="20"/>
        <v>0</v>
      </c>
      <c r="W99" s="373">
        <f t="shared" si="20"/>
        <v>0</v>
      </c>
      <c r="X99" s="373">
        <f t="shared" si="20"/>
        <v>0</v>
      </c>
      <c r="Y99" s="382">
        <v>0</v>
      </c>
    </row>
    <row r="100" spans="1:26" ht="12.9" thickBot="1" x14ac:dyDescent="0.35">
      <c r="A100" s="379" t="s">
        <v>116</v>
      </c>
      <c r="B100" s="374">
        <f t="shared" ref="B100:X100" si="21">(C99+B99)*(C98-B98)/2</f>
        <v>8.4440000000000015E-2</v>
      </c>
      <c r="C100" s="375">
        <f t="shared" si="21"/>
        <v>0.89649600000000018</v>
      </c>
      <c r="D100" s="375">
        <f t="shared" si="21"/>
        <v>3.3644449999999999</v>
      </c>
      <c r="E100" s="375">
        <f t="shared" si="21"/>
        <v>2.973873999999999</v>
      </c>
      <c r="F100" s="375">
        <f t="shared" si="21"/>
        <v>1.2130300000000012</v>
      </c>
      <c r="G100" s="375">
        <f t="shared" si="21"/>
        <v>0.9256799999999995</v>
      </c>
      <c r="H100" s="375">
        <f t="shared" si="21"/>
        <v>1.0395329999999998</v>
      </c>
      <c r="I100" s="375">
        <f t="shared" si="21"/>
        <v>1.416825</v>
      </c>
      <c r="J100" s="375">
        <f t="shared" si="21"/>
        <v>1.8435479999999997</v>
      </c>
      <c r="K100" s="375">
        <f t="shared" si="21"/>
        <v>19.852594000000003</v>
      </c>
      <c r="L100" s="375">
        <f t="shared" si="21"/>
        <v>2.0267599999999999</v>
      </c>
      <c r="M100" s="375">
        <f t="shared" si="21"/>
        <v>1.5243409999999993</v>
      </c>
      <c r="N100" s="375">
        <f t="shared" si="21"/>
        <v>0.87034800000000079</v>
      </c>
      <c r="O100" s="375">
        <f t="shared" si="21"/>
        <v>1.8535439999999987</v>
      </c>
      <c r="P100" s="375">
        <f t="shared" si="21"/>
        <v>3.8520000000000033E-2</v>
      </c>
      <c r="Q100" s="375">
        <f t="shared" si="21"/>
        <v>0</v>
      </c>
      <c r="R100" s="375">
        <f t="shared" si="21"/>
        <v>0</v>
      </c>
      <c r="S100" s="375">
        <f t="shared" si="21"/>
        <v>0</v>
      </c>
      <c r="T100" s="375">
        <f t="shared" si="21"/>
        <v>0</v>
      </c>
      <c r="U100" s="375">
        <f t="shared" si="21"/>
        <v>0</v>
      </c>
      <c r="V100" s="375">
        <f t="shared" si="21"/>
        <v>0</v>
      </c>
      <c r="W100" s="375">
        <f t="shared" si="21"/>
        <v>0</v>
      </c>
      <c r="X100" s="375">
        <f t="shared" si="21"/>
        <v>0</v>
      </c>
      <c r="Y100" s="369"/>
    </row>
    <row r="101" spans="1:26" ht="12.9" thickBot="1" x14ac:dyDescent="0.35">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row>
    <row r="102" spans="1:26" ht="12.9" thickBot="1" x14ac:dyDescent="0.35">
      <c r="A102" s="361" t="s">
        <v>542</v>
      </c>
      <c r="B102" s="359">
        <f>ROW(A102)</f>
        <v>102</v>
      </c>
      <c r="C102" s="363" t="s">
        <v>115</v>
      </c>
      <c r="D102" s="353">
        <f>SUM(B105:Y105)</f>
        <v>59.885967000000008</v>
      </c>
      <c r="E102" s="363" t="s">
        <v>114</v>
      </c>
      <c r="F102" s="354">
        <f>D102/g/J102</f>
        <v>118.30588744280874</v>
      </c>
      <c r="G102" s="363" t="s">
        <v>56</v>
      </c>
      <c r="H102" s="64">
        <f>H92*3</f>
        <v>8.4599999999999995E-2</v>
      </c>
      <c r="I102" s="363" t="s">
        <v>273</v>
      </c>
      <c r="J102" s="355">
        <f>H102-L102</f>
        <v>5.1599999999999993E-2</v>
      </c>
      <c r="K102" s="363" t="s">
        <v>274</v>
      </c>
      <c r="L102" s="64">
        <f>L92*3</f>
        <v>3.3000000000000002E-2</v>
      </c>
      <c r="M102" s="363" t="s">
        <v>57</v>
      </c>
      <c r="N102" s="65">
        <v>30</v>
      </c>
      <c r="O102" s="363" t="s">
        <v>59</v>
      </c>
      <c r="P102" s="65">
        <v>30</v>
      </c>
      <c r="Q102" s="363" t="s">
        <v>60</v>
      </c>
      <c r="R102" s="65">
        <v>70</v>
      </c>
      <c r="S102" s="363" t="s">
        <v>61</v>
      </c>
      <c r="T102" s="65">
        <v>40</v>
      </c>
      <c r="U102" s="363" t="s">
        <v>54</v>
      </c>
      <c r="V102" s="66" t="s">
        <v>403</v>
      </c>
      <c r="W102" s="463" t="s">
        <v>396</v>
      </c>
      <c r="X102" s="465">
        <v>2.1</v>
      </c>
      <c r="Y102" s="463" t="s">
        <v>395</v>
      </c>
      <c r="Z102" s="358">
        <v>7</v>
      </c>
    </row>
    <row r="103" spans="1:26" x14ac:dyDescent="0.3">
      <c r="A103" s="362" t="s">
        <v>33</v>
      </c>
      <c r="B103" s="370">
        <v>0</v>
      </c>
      <c r="C103" s="371">
        <f>C93</f>
        <v>0.04</v>
      </c>
      <c r="D103" s="371">
        <f t="shared" ref="D103:X103" si="22">D93</f>
        <v>0.11600000000000001</v>
      </c>
      <c r="E103" s="371">
        <f t="shared" si="22"/>
        <v>0.21299999999999999</v>
      </c>
      <c r="F103" s="371">
        <f t="shared" si="22"/>
        <v>0.28599999999999998</v>
      </c>
      <c r="G103" s="371">
        <f t="shared" si="22"/>
        <v>0.32900000000000001</v>
      </c>
      <c r="H103" s="371">
        <f t="shared" si="22"/>
        <v>0.36899999999999999</v>
      </c>
      <c r="I103" s="371">
        <f t="shared" si="22"/>
        <v>0.42</v>
      </c>
      <c r="J103" s="371">
        <f t="shared" si="22"/>
        <v>0.495</v>
      </c>
      <c r="K103" s="371">
        <f t="shared" si="22"/>
        <v>0.59699999999999998</v>
      </c>
      <c r="L103" s="371">
        <f t="shared" si="22"/>
        <v>1.7110000000000001</v>
      </c>
      <c r="M103" s="371">
        <f t="shared" si="22"/>
        <v>1.8260000000000001</v>
      </c>
      <c r="N103" s="371">
        <f t="shared" si="22"/>
        <v>1.917</v>
      </c>
      <c r="O103" s="371">
        <f t="shared" si="22"/>
        <v>1.9750000000000001</v>
      </c>
      <c r="P103" s="371">
        <f t="shared" si="22"/>
        <v>2.206</v>
      </c>
      <c r="Q103" s="371">
        <f t="shared" si="22"/>
        <v>2.242</v>
      </c>
      <c r="R103" s="371">
        <f t="shared" si="22"/>
        <v>2.5</v>
      </c>
      <c r="S103" s="371">
        <f t="shared" si="22"/>
        <v>2.5</v>
      </c>
      <c r="T103" s="371">
        <f t="shared" si="22"/>
        <v>2.5</v>
      </c>
      <c r="U103" s="371">
        <f t="shared" si="22"/>
        <v>2.5</v>
      </c>
      <c r="V103" s="371">
        <f t="shared" si="22"/>
        <v>2.5</v>
      </c>
      <c r="W103" s="371">
        <f t="shared" si="22"/>
        <v>2.5</v>
      </c>
      <c r="X103" s="371">
        <f t="shared" si="22"/>
        <v>2.5</v>
      </c>
      <c r="Y103" s="381">
        <v>1000</v>
      </c>
    </row>
    <row r="104" spans="1:26" x14ac:dyDescent="0.3">
      <c r="A104" s="378" t="s">
        <v>34</v>
      </c>
      <c r="B104" s="372">
        <f>B94*3</f>
        <v>0</v>
      </c>
      <c r="C104" s="373">
        <f t="shared" ref="C104:X104" si="23">C94*3</f>
        <v>6.3330000000000002</v>
      </c>
      <c r="D104" s="373">
        <f t="shared" si="23"/>
        <v>29.055</v>
      </c>
      <c r="E104" s="373">
        <f t="shared" si="23"/>
        <v>75</v>
      </c>
      <c r="F104" s="373">
        <f t="shared" si="23"/>
        <v>47.213999999999999</v>
      </c>
      <c r="G104" s="373">
        <f t="shared" si="23"/>
        <v>37.415999999999997</v>
      </c>
      <c r="H104" s="373">
        <f t="shared" si="23"/>
        <v>32.01</v>
      </c>
      <c r="I104" s="373">
        <f t="shared" si="23"/>
        <v>29.138999999999996</v>
      </c>
      <c r="J104" s="373">
        <f t="shared" si="23"/>
        <v>27.534000000000002</v>
      </c>
      <c r="K104" s="373">
        <f t="shared" si="23"/>
        <v>26.688000000000002</v>
      </c>
      <c r="L104" s="373">
        <f t="shared" si="23"/>
        <v>26.775000000000002</v>
      </c>
      <c r="M104" s="373">
        <f t="shared" si="23"/>
        <v>26.097000000000001</v>
      </c>
      <c r="N104" s="373">
        <f t="shared" si="23"/>
        <v>24.155999999999999</v>
      </c>
      <c r="O104" s="373">
        <f t="shared" si="23"/>
        <v>20.861999999999998</v>
      </c>
      <c r="P104" s="373">
        <f t="shared" si="23"/>
        <v>3.21</v>
      </c>
      <c r="Q104" s="373">
        <f t="shared" si="23"/>
        <v>0</v>
      </c>
      <c r="R104" s="373">
        <f t="shared" si="23"/>
        <v>0</v>
      </c>
      <c r="S104" s="373">
        <f t="shared" si="23"/>
        <v>0</v>
      </c>
      <c r="T104" s="373">
        <f t="shared" si="23"/>
        <v>0</v>
      </c>
      <c r="U104" s="373">
        <f t="shared" si="23"/>
        <v>0</v>
      </c>
      <c r="V104" s="373">
        <f t="shared" si="23"/>
        <v>0</v>
      </c>
      <c r="W104" s="373">
        <f t="shared" si="23"/>
        <v>0</v>
      </c>
      <c r="X104" s="373">
        <f t="shared" si="23"/>
        <v>0</v>
      </c>
      <c r="Y104" s="382">
        <v>0</v>
      </c>
    </row>
    <row r="105" spans="1:26" ht="12.9" thickBot="1" x14ac:dyDescent="0.35">
      <c r="A105" s="379" t="s">
        <v>116</v>
      </c>
      <c r="B105" s="374">
        <f t="shared" ref="B105:X105" si="24">(C104+B104)*(C103-B103)/2</f>
        <v>0.12665999999999999</v>
      </c>
      <c r="C105" s="375">
        <f t="shared" si="24"/>
        <v>1.3447440000000002</v>
      </c>
      <c r="D105" s="375">
        <f t="shared" si="24"/>
        <v>5.0466674999999999</v>
      </c>
      <c r="E105" s="375">
        <f t="shared" si="24"/>
        <v>4.4608109999999987</v>
      </c>
      <c r="F105" s="375">
        <f t="shared" si="24"/>
        <v>1.8195450000000015</v>
      </c>
      <c r="G105" s="375">
        <f t="shared" si="24"/>
        <v>1.3885199999999991</v>
      </c>
      <c r="H105" s="375">
        <f t="shared" si="24"/>
        <v>1.5592994999999996</v>
      </c>
      <c r="I105" s="375">
        <f t="shared" si="24"/>
        <v>2.1252375000000003</v>
      </c>
      <c r="J105" s="375">
        <f t="shared" si="24"/>
        <v>2.7653219999999998</v>
      </c>
      <c r="K105" s="375">
        <f t="shared" si="24"/>
        <v>29.778891000000009</v>
      </c>
      <c r="L105" s="375">
        <f t="shared" si="24"/>
        <v>3.0401399999999996</v>
      </c>
      <c r="M105" s="375">
        <f t="shared" si="24"/>
        <v>2.2865114999999991</v>
      </c>
      <c r="N105" s="375">
        <f t="shared" si="24"/>
        <v>1.3055220000000012</v>
      </c>
      <c r="O105" s="375">
        <f t="shared" si="24"/>
        <v>2.7803159999999982</v>
      </c>
      <c r="P105" s="375">
        <f t="shared" si="24"/>
        <v>5.7780000000000054E-2</v>
      </c>
      <c r="Q105" s="375">
        <f t="shared" si="24"/>
        <v>0</v>
      </c>
      <c r="R105" s="375">
        <f t="shared" si="24"/>
        <v>0</v>
      </c>
      <c r="S105" s="375">
        <f t="shared" si="24"/>
        <v>0</v>
      </c>
      <c r="T105" s="375">
        <f t="shared" si="24"/>
        <v>0</v>
      </c>
      <c r="U105" s="375">
        <f t="shared" si="24"/>
        <v>0</v>
      </c>
      <c r="V105" s="375">
        <f t="shared" si="24"/>
        <v>0</v>
      </c>
      <c r="W105" s="375">
        <f t="shared" si="24"/>
        <v>0</v>
      </c>
      <c r="X105" s="375">
        <f t="shared" si="24"/>
        <v>0</v>
      </c>
      <c r="Y105" s="369"/>
    </row>
    <row r="107" spans="1:26" ht="12.9" thickBot="1" x14ac:dyDescent="0.35">
      <c r="A107" s="6" t="s">
        <v>319</v>
      </c>
    </row>
    <row r="108" spans="1:26" ht="12.9" thickBot="1" x14ac:dyDescent="0.35">
      <c r="A108" s="361" t="s">
        <v>321</v>
      </c>
      <c r="B108" s="359">
        <f>ROW(A108)</f>
        <v>108</v>
      </c>
      <c r="C108" s="363" t="s">
        <v>115</v>
      </c>
      <c r="D108" s="353">
        <f>SUM(B111:Y111)</f>
        <v>24.269519000000003</v>
      </c>
      <c r="E108" s="363" t="s">
        <v>114</v>
      </c>
      <c r="F108" s="354">
        <f>D108/g/J108</f>
        <v>154.62231778797147</v>
      </c>
      <c r="G108" s="363" t="s">
        <v>56</v>
      </c>
      <c r="H108" s="64">
        <v>5.1999999999999998E-2</v>
      </c>
      <c r="I108" s="363" t="s">
        <v>273</v>
      </c>
      <c r="J108" s="355">
        <f>H108-L108</f>
        <v>1.6E-2</v>
      </c>
      <c r="K108" s="363" t="s">
        <v>274</v>
      </c>
      <c r="L108" s="64">
        <v>3.5999999999999997E-2</v>
      </c>
      <c r="M108" s="363" t="s">
        <v>57</v>
      </c>
      <c r="N108" s="396">
        <v>35</v>
      </c>
      <c r="O108" s="363" t="s">
        <v>59</v>
      </c>
      <c r="P108" s="396">
        <v>35</v>
      </c>
      <c r="Q108" s="363" t="s">
        <v>60</v>
      </c>
      <c r="R108" s="65">
        <v>69</v>
      </c>
      <c r="S108" s="363" t="s">
        <v>61</v>
      </c>
      <c r="T108" s="65">
        <v>24</v>
      </c>
      <c r="U108" s="363" t="s">
        <v>54</v>
      </c>
      <c r="V108" s="66" t="s">
        <v>401</v>
      </c>
      <c r="W108" s="463" t="s">
        <v>396</v>
      </c>
      <c r="X108" s="465">
        <v>1</v>
      </c>
      <c r="Y108" s="463" t="s">
        <v>395</v>
      </c>
      <c r="Z108" s="358">
        <v>13</v>
      </c>
    </row>
    <row r="109" spans="1:26" x14ac:dyDescent="0.3">
      <c r="A109" s="362" t="s">
        <v>33</v>
      </c>
      <c r="B109" s="370">
        <v>0</v>
      </c>
      <c r="C109" s="371">
        <v>8.0000000000000002E-3</v>
      </c>
      <c r="D109" s="371">
        <v>2.5999999999999999E-2</v>
      </c>
      <c r="E109" s="371">
        <v>3.7999999999999999E-2</v>
      </c>
      <c r="F109" s="371">
        <v>6.7000000000000004E-2</v>
      </c>
      <c r="G109" s="371">
        <v>0.10100000000000001</v>
      </c>
      <c r="H109" s="371">
        <v>0.33</v>
      </c>
      <c r="I109" s="371">
        <v>0.52800000000000002</v>
      </c>
      <c r="J109" s="371">
        <v>0.71599999999999997</v>
      </c>
      <c r="K109" s="371">
        <v>0.84099999999999997</v>
      </c>
      <c r="L109" s="371">
        <v>0.91200000000000003</v>
      </c>
      <c r="M109" s="371">
        <v>0.98699999999999999</v>
      </c>
      <c r="N109" s="371">
        <v>1.016</v>
      </c>
      <c r="O109" s="371">
        <v>1.0649999999999999</v>
      </c>
      <c r="P109" s="371">
        <v>1.087</v>
      </c>
      <c r="Q109" s="371">
        <v>2</v>
      </c>
      <c r="R109" s="371">
        <v>2</v>
      </c>
      <c r="S109" s="371">
        <v>2</v>
      </c>
      <c r="T109" s="371">
        <v>2</v>
      </c>
      <c r="U109" s="371">
        <v>2</v>
      </c>
      <c r="V109" s="371">
        <v>2</v>
      </c>
      <c r="W109" s="371">
        <v>2</v>
      </c>
      <c r="X109" s="371">
        <v>2</v>
      </c>
      <c r="Y109" s="381">
        <v>1000</v>
      </c>
    </row>
    <row r="110" spans="1:26" x14ac:dyDescent="0.3">
      <c r="A110" s="378" t="s">
        <v>34</v>
      </c>
      <c r="B110" s="372">
        <v>0</v>
      </c>
      <c r="C110" s="373">
        <v>18.292000000000002</v>
      </c>
      <c r="D110" s="373">
        <v>30</v>
      </c>
      <c r="E110" s="373">
        <v>30.792000000000002</v>
      </c>
      <c r="F110" s="373">
        <v>18.707999999999998</v>
      </c>
      <c r="G110" s="373">
        <v>21.875</v>
      </c>
      <c r="H110" s="373">
        <v>26.082999999999998</v>
      </c>
      <c r="I110" s="373">
        <v>28.042000000000002</v>
      </c>
      <c r="J110" s="373">
        <v>27.875</v>
      </c>
      <c r="K110" s="373">
        <v>23.542000000000002</v>
      </c>
      <c r="L110" s="373">
        <v>17.832999999999998</v>
      </c>
      <c r="M110" s="373">
        <v>7</v>
      </c>
      <c r="N110" s="373">
        <v>3.3330000000000002</v>
      </c>
      <c r="O110" s="373">
        <v>1.083</v>
      </c>
      <c r="P110" s="373">
        <v>0</v>
      </c>
      <c r="Q110" s="373">
        <v>0</v>
      </c>
      <c r="R110" s="373">
        <v>0</v>
      </c>
      <c r="S110" s="373">
        <v>0</v>
      </c>
      <c r="T110" s="373">
        <f>S110</f>
        <v>0</v>
      </c>
      <c r="U110" s="373">
        <f>T110</f>
        <v>0</v>
      </c>
      <c r="V110" s="373">
        <f>U110</f>
        <v>0</v>
      </c>
      <c r="W110" s="373">
        <f>V110</f>
        <v>0</v>
      </c>
      <c r="X110" s="373">
        <f>W110</f>
        <v>0</v>
      </c>
      <c r="Y110" s="382">
        <v>0</v>
      </c>
    </row>
    <row r="111" spans="1:26" ht="12.9" thickBot="1" x14ac:dyDescent="0.35">
      <c r="A111" s="379" t="s">
        <v>116</v>
      </c>
      <c r="B111" s="374">
        <f t="shared" ref="B111:V111" si="25">(C110+B110)*(C109-B109)/2</f>
        <v>7.3168000000000011E-2</v>
      </c>
      <c r="C111" s="375">
        <f t="shared" si="25"/>
        <v>0.43462799999999996</v>
      </c>
      <c r="D111" s="375">
        <f t="shared" si="25"/>
        <v>0.36475200000000002</v>
      </c>
      <c r="E111" s="375">
        <f t="shared" si="25"/>
        <v>0.71775000000000011</v>
      </c>
      <c r="F111" s="375">
        <f t="shared" si="25"/>
        <v>0.68991100000000005</v>
      </c>
      <c r="G111" s="375">
        <f t="shared" si="25"/>
        <v>5.4911909999999997</v>
      </c>
      <c r="H111" s="375">
        <f t="shared" si="25"/>
        <v>5.3583750000000006</v>
      </c>
      <c r="I111" s="375">
        <f t="shared" si="25"/>
        <v>5.2561979999999986</v>
      </c>
      <c r="J111" s="375">
        <f>(K110+J110)*(K109-J109)/2</f>
        <v>3.2135625000000001</v>
      </c>
      <c r="K111" s="375">
        <f t="shared" si="25"/>
        <v>1.4688125000000014</v>
      </c>
      <c r="L111" s="375">
        <f t="shared" si="25"/>
        <v>0.93123749999999939</v>
      </c>
      <c r="M111" s="375">
        <f t="shared" si="25"/>
        <v>0.14982850000000014</v>
      </c>
      <c r="N111" s="375">
        <f t="shared" si="25"/>
        <v>0.10819199999999986</v>
      </c>
      <c r="O111" s="375">
        <f t="shared" si="25"/>
        <v>1.191300000000001E-2</v>
      </c>
      <c r="P111" s="375">
        <f t="shared" si="25"/>
        <v>0</v>
      </c>
      <c r="Q111" s="375">
        <f t="shared" si="25"/>
        <v>0</v>
      </c>
      <c r="R111" s="375">
        <f t="shared" si="25"/>
        <v>0</v>
      </c>
      <c r="S111" s="375">
        <f>(T110+S110)*(T109-S109)/2</f>
        <v>0</v>
      </c>
      <c r="T111" s="375">
        <f t="shared" si="25"/>
        <v>0</v>
      </c>
      <c r="U111" s="375">
        <f t="shared" si="25"/>
        <v>0</v>
      </c>
      <c r="V111" s="375">
        <f t="shared" si="25"/>
        <v>0</v>
      </c>
      <c r="W111" s="375">
        <f>(X110+W110)*(X109-W109)/2</f>
        <v>0</v>
      </c>
      <c r="X111" s="375">
        <f>(Y110+X110)*(Y109-X109)/2</f>
        <v>0</v>
      </c>
      <c r="Y111" s="369"/>
    </row>
    <row r="112" spans="1:26" ht="12.9" thickBot="1" x14ac:dyDescent="0.35"/>
    <row r="113" spans="1:26" ht="12.9" thickBot="1" x14ac:dyDescent="0.35">
      <c r="A113" s="361" t="s">
        <v>419</v>
      </c>
      <c r="B113" s="359">
        <f>ROW(A113)</f>
        <v>113</v>
      </c>
      <c r="C113" s="363" t="s">
        <v>115</v>
      </c>
      <c r="D113" s="353">
        <f>SUM(B116:Y116)</f>
        <v>24.488898000000002</v>
      </c>
      <c r="E113" s="363" t="s">
        <v>114</v>
      </c>
      <c r="F113" s="354">
        <f>D113/g/J113</f>
        <v>121.771701350041</v>
      </c>
      <c r="G113" s="363" t="s">
        <v>56</v>
      </c>
      <c r="H113" s="64">
        <v>5.6500000000000002E-2</v>
      </c>
      <c r="I113" s="363" t="s">
        <v>273</v>
      </c>
      <c r="J113" s="355">
        <f>H113-L113</f>
        <v>2.0500000000000004E-2</v>
      </c>
      <c r="K113" s="363" t="s">
        <v>274</v>
      </c>
      <c r="L113" s="64">
        <v>3.5999999999999997E-2</v>
      </c>
      <c r="M113" s="363" t="s">
        <v>57</v>
      </c>
      <c r="N113" s="396">
        <v>35</v>
      </c>
      <c r="O113" s="363" t="s">
        <v>59</v>
      </c>
      <c r="P113" s="396">
        <v>35</v>
      </c>
      <c r="Q113" s="363" t="s">
        <v>60</v>
      </c>
      <c r="R113" s="65">
        <v>69</v>
      </c>
      <c r="S113" s="363" t="s">
        <v>61</v>
      </c>
      <c r="T113" s="65">
        <v>24</v>
      </c>
      <c r="U113" s="363" t="s">
        <v>54</v>
      </c>
      <c r="V113" s="66" t="s">
        <v>402</v>
      </c>
      <c r="W113" s="463" t="s">
        <v>396</v>
      </c>
      <c r="X113" s="465">
        <v>0.33</v>
      </c>
      <c r="Y113" s="463" t="s">
        <v>395</v>
      </c>
      <c r="Z113" s="358">
        <v>17</v>
      </c>
    </row>
    <row r="114" spans="1:26" x14ac:dyDescent="0.3">
      <c r="A114" s="362" t="s">
        <v>33</v>
      </c>
      <c r="B114" s="370">
        <v>0</v>
      </c>
      <c r="C114" s="371">
        <v>8.9999999999999993E-3</v>
      </c>
      <c r="D114" s="371">
        <v>1.2E-2</v>
      </c>
      <c r="E114" s="371">
        <v>2.3E-2</v>
      </c>
      <c r="F114" s="371">
        <v>2.7E-2</v>
      </c>
      <c r="G114" s="371">
        <v>4.7E-2</v>
      </c>
      <c r="H114" s="371">
        <v>9.1999999999999998E-2</v>
      </c>
      <c r="I114" s="371">
        <v>0.11799999999999999</v>
      </c>
      <c r="J114" s="371">
        <v>0.14099999999999999</v>
      </c>
      <c r="K114" s="371">
        <v>0.192</v>
      </c>
      <c r="L114" s="371">
        <v>0.222</v>
      </c>
      <c r="M114" s="371">
        <v>0.25</v>
      </c>
      <c r="N114" s="371">
        <v>0.26</v>
      </c>
      <c r="O114" s="371">
        <v>0.28100000000000003</v>
      </c>
      <c r="P114" s="371">
        <v>0.28699999999999998</v>
      </c>
      <c r="Q114" s="371">
        <v>0.30599999999999999</v>
      </c>
      <c r="R114" s="371">
        <v>0.314</v>
      </c>
      <c r="S114" s="371">
        <v>0.32600000000000001</v>
      </c>
      <c r="T114" s="371">
        <v>0.32900000000000001</v>
      </c>
      <c r="U114" s="371">
        <v>0.5</v>
      </c>
      <c r="V114" s="371">
        <v>1</v>
      </c>
      <c r="W114" s="371">
        <v>2</v>
      </c>
      <c r="X114" s="371">
        <v>2</v>
      </c>
      <c r="Y114" s="381">
        <v>1000</v>
      </c>
    </row>
    <row r="115" spans="1:26" x14ac:dyDescent="0.3">
      <c r="A115" s="378" t="s">
        <v>34</v>
      </c>
      <c r="B115" s="372">
        <v>0</v>
      </c>
      <c r="C115" s="373">
        <v>84.212999999999994</v>
      </c>
      <c r="D115" s="373">
        <v>95.099000000000004</v>
      </c>
      <c r="E115" s="373">
        <v>77.08</v>
      </c>
      <c r="F115" s="373">
        <v>68.697000000000003</v>
      </c>
      <c r="G115" s="373">
        <v>73.451999999999998</v>
      </c>
      <c r="H115" s="373">
        <v>81.834999999999994</v>
      </c>
      <c r="I115" s="373">
        <v>83.837000000000003</v>
      </c>
      <c r="J115" s="373">
        <v>86.465000000000003</v>
      </c>
      <c r="K115" s="373">
        <v>86.965999999999994</v>
      </c>
      <c r="L115" s="373">
        <v>85.338999999999999</v>
      </c>
      <c r="M115" s="373">
        <v>80.082999999999998</v>
      </c>
      <c r="N115" s="373">
        <v>78.331999999999994</v>
      </c>
      <c r="O115" s="373">
        <v>82.960999999999999</v>
      </c>
      <c r="P115" s="373">
        <v>78.206000000000003</v>
      </c>
      <c r="Q115" s="373">
        <v>24.776</v>
      </c>
      <c r="R115" s="373">
        <v>14.14</v>
      </c>
      <c r="S115" s="373">
        <v>8.5090000000000003</v>
      </c>
      <c r="T115" s="373">
        <v>0</v>
      </c>
      <c r="U115" s="373">
        <f>T115</f>
        <v>0</v>
      </c>
      <c r="V115" s="373">
        <f>U115</f>
        <v>0</v>
      </c>
      <c r="W115" s="373">
        <f>V115</f>
        <v>0</v>
      </c>
      <c r="X115" s="373">
        <f>W115</f>
        <v>0</v>
      </c>
      <c r="Y115" s="382">
        <v>0</v>
      </c>
    </row>
    <row r="116" spans="1:26" ht="12.9" thickBot="1" x14ac:dyDescent="0.35">
      <c r="A116" s="379" t="s">
        <v>116</v>
      </c>
      <c r="B116" s="374">
        <f t="shared" ref="B116:V116" si="26">(C115+B115)*(C114-B114)/2</f>
        <v>0.37895849999999992</v>
      </c>
      <c r="C116" s="375">
        <f t="shared" si="26"/>
        <v>0.2689680000000001</v>
      </c>
      <c r="D116" s="375">
        <f t="shared" si="26"/>
        <v>0.94698450000000001</v>
      </c>
      <c r="E116" s="375">
        <f t="shared" si="26"/>
        <v>0.29155399999999998</v>
      </c>
      <c r="F116" s="375">
        <f t="shared" si="26"/>
        <v>1.4214900000000001</v>
      </c>
      <c r="G116" s="375">
        <f t="shared" si="26"/>
        <v>3.4939574999999992</v>
      </c>
      <c r="H116" s="375">
        <f t="shared" si="26"/>
        <v>2.1537359999999994</v>
      </c>
      <c r="I116" s="375">
        <f t="shared" si="26"/>
        <v>1.9584729999999997</v>
      </c>
      <c r="J116" s="375">
        <f>(K115+J115)*(K114-J114)/2</f>
        <v>4.4224905000000012</v>
      </c>
      <c r="K116" s="375">
        <f t="shared" si="26"/>
        <v>2.5845750000000001</v>
      </c>
      <c r="L116" s="375">
        <f t="shared" si="26"/>
        <v>2.3159079999999999</v>
      </c>
      <c r="M116" s="375">
        <f t="shared" si="26"/>
        <v>0.79207500000000064</v>
      </c>
      <c r="N116" s="375">
        <f t="shared" si="26"/>
        <v>1.6935765000000016</v>
      </c>
      <c r="O116" s="375">
        <f t="shared" si="26"/>
        <v>0.48350099999999596</v>
      </c>
      <c r="P116" s="375">
        <f t="shared" si="26"/>
        <v>0.97832900000000089</v>
      </c>
      <c r="Q116" s="375">
        <f t="shared" si="26"/>
        <v>0.15566400000000014</v>
      </c>
      <c r="R116" s="375">
        <f t="shared" si="26"/>
        <v>0.13589400000000013</v>
      </c>
      <c r="S116" s="375">
        <f>(T115+S115)*(T114-S114)/2</f>
        <v>1.2763500000000013E-2</v>
      </c>
      <c r="T116" s="375">
        <f t="shared" si="26"/>
        <v>0</v>
      </c>
      <c r="U116" s="375">
        <f t="shared" si="26"/>
        <v>0</v>
      </c>
      <c r="V116" s="375">
        <f t="shared" si="26"/>
        <v>0</v>
      </c>
      <c r="W116" s="375">
        <f>(X115+W115)*(X114-W114)/2</f>
        <v>0</v>
      </c>
      <c r="X116" s="375">
        <f>(Y115+X115)*(Y114-X114)/2</f>
        <v>0</v>
      </c>
      <c r="Y116" s="369"/>
    </row>
    <row r="117" spans="1:26" ht="12.9" thickBot="1" x14ac:dyDescent="0.35"/>
    <row r="118" spans="1:26" ht="12.9" thickBot="1" x14ac:dyDescent="0.35">
      <c r="A118" s="361" t="s">
        <v>322</v>
      </c>
      <c r="B118" s="359">
        <f>ROW(A118)</f>
        <v>118</v>
      </c>
      <c r="C118" s="363" t="s">
        <v>115</v>
      </c>
      <c r="D118" s="353">
        <f>SUM(B121:Y121)</f>
        <v>26.083982500000001</v>
      </c>
      <c r="E118" s="363" t="s">
        <v>114</v>
      </c>
      <c r="F118" s="354">
        <f>D118/g/J118</f>
        <v>166.18235537716615</v>
      </c>
      <c r="G118" s="363" t="s">
        <v>56</v>
      </c>
      <c r="H118" s="64">
        <v>5.1999999999999998E-2</v>
      </c>
      <c r="I118" s="363" t="s">
        <v>273</v>
      </c>
      <c r="J118" s="355">
        <f>H118-L118</f>
        <v>1.6E-2</v>
      </c>
      <c r="K118" s="363" t="s">
        <v>274</v>
      </c>
      <c r="L118" s="64">
        <v>3.5999999999999997E-2</v>
      </c>
      <c r="M118" s="363" t="s">
        <v>57</v>
      </c>
      <c r="N118" s="396">
        <v>35</v>
      </c>
      <c r="O118" s="363" t="s">
        <v>59</v>
      </c>
      <c r="P118" s="396">
        <v>35</v>
      </c>
      <c r="Q118" s="363" t="s">
        <v>60</v>
      </c>
      <c r="R118" s="65">
        <v>69</v>
      </c>
      <c r="S118" s="363" t="s">
        <v>61</v>
      </c>
      <c r="T118" s="65">
        <v>24</v>
      </c>
      <c r="U118" s="363" t="s">
        <v>54</v>
      </c>
      <c r="V118" s="66" t="s">
        <v>401</v>
      </c>
      <c r="W118" s="463" t="s">
        <v>396</v>
      </c>
      <c r="X118" s="465">
        <v>0.85</v>
      </c>
      <c r="Y118" s="463" t="s">
        <v>395</v>
      </c>
      <c r="Z118" s="358">
        <v>15</v>
      </c>
    </row>
    <row r="119" spans="1:26" x14ac:dyDescent="0.3">
      <c r="A119" s="362" t="s">
        <v>33</v>
      </c>
      <c r="B119" s="370">
        <v>0</v>
      </c>
      <c r="C119" s="371">
        <v>0.02</v>
      </c>
      <c r="D119" s="371">
        <v>2.7E-2</v>
      </c>
      <c r="E119" s="371">
        <v>4.9000000000000002E-2</v>
      </c>
      <c r="F119" s="371">
        <v>0.113</v>
      </c>
      <c r="G119" s="371">
        <v>0.193</v>
      </c>
      <c r="H119" s="371">
        <v>0.28199999999999997</v>
      </c>
      <c r="I119" s="371">
        <v>0.5</v>
      </c>
      <c r="J119" s="371">
        <v>0.72699999999999998</v>
      </c>
      <c r="K119" s="371">
        <v>0.77100000000000002</v>
      </c>
      <c r="L119" s="371">
        <v>0.80700000000000005</v>
      </c>
      <c r="M119" s="371">
        <v>0.84</v>
      </c>
      <c r="N119" s="371">
        <v>0.87</v>
      </c>
      <c r="O119" s="371">
        <v>1</v>
      </c>
      <c r="P119" s="371">
        <v>1</v>
      </c>
      <c r="Q119" s="371">
        <v>1</v>
      </c>
      <c r="R119" s="371">
        <v>1</v>
      </c>
      <c r="S119" s="371">
        <v>1</v>
      </c>
      <c r="T119" s="371">
        <v>1</v>
      </c>
      <c r="U119" s="371">
        <v>1</v>
      </c>
      <c r="V119" s="371">
        <v>1</v>
      </c>
      <c r="W119" s="371">
        <v>1</v>
      </c>
      <c r="X119" s="371">
        <v>2</v>
      </c>
      <c r="Y119" s="381">
        <v>1000</v>
      </c>
    </row>
    <row r="120" spans="1:26" x14ac:dyDescent="0.3">
      <c r="A120" s="378" t="s">
        <v>34</v>
      </c>
      <c r="B120" s="372">
        <v>0</v>
      </c>
      <c r="C120" s="373">
        <v>43.823999999999998</v>
      </c>
      <c r="D120" s="373">
        <v>39.963999999999999</v>
      </c>
      <c r="E120" s="373">
        <v>26.780999999999999</v>
      </c>
      <c r="F120" s="373">
        <v>32.600999999999999</v>
      </c>
      <c r="G120" s="373">
        <v>34.738999999999997</v>
      </c>
      <c r="H120" s="373">
        <v>35.808</v>
      </c>
      <c r="I120" s="373">
        <v>34.442</v>
      </c>
      <c r="J120" s="373">
        <v>29.276</v>
      </c>
      <c r="K120" s="373">
        <v>22.742999999999999</v>
      </c>
      <c r="L120" s="373">
        <v>9.5609999999999999</v>
      </c>
      <c r="M120" s="373">
        <v>3.5630000000000002</v>
      </c>
      <c r="N120" s="373">
        <v>0</v>
      </c>
      <c r="O120" s="373">
        <v>0</v>
      </c>
      <c r="P120" s="373">
        <v>0</v>
      </c>
      <c r="Q120" s="373">
        <v>0</v>
      </c>
      <c r="R120" s="373">
        <v>0</v>
      </c>
      <c r="S120" s="373">
        <v>0</v>
      </c>
      <c r="T120" s="373">
        <f>S120</f>
        <v>0</v>
      </c>
      <c r="U120" s="373">
        <f>T120</f>
        <v>0</v>
      </c>
      <c r="V120" s="373">
        <f>U120</f>
        <v>0</v>
      </c>
      <c r="W120" s="373">
        <f>V120</f>
        <v>0</v>
      </c>
      <c r="X120" s="373">
        <f>W120</f>
        <v>0</v>
      </c>
      <c r="Y120" s="382">
        <v>0</v>
      </c>
    </row>
    <row r="121" spans="1:26" ht="12.9" thickBot="1" x14ac:dyDescent="0.35">
      <c r="A121" s="379" t="s">
        <v>116</v>
      </c>
      <c r="B121" s="374">
        <f t="shared" ref="B121:V121" si="27">(C120+B120)*(C119-B119)/2</f>
        <v>0.43823999999999996</v>
      </c>
      <c r="C121" s="375">
        <f t="shared" si="27"/>
        <v>0.29325799999999996</v>
      </c>
      <c r="D121" s="375">
        <f t="shared" si="27"/>
        <v>0.73419500000000015</v>
      </c>
      <c r="E121" s="375">
        <f t="shared" si="27"/>
        <v>1.9002239999999999</v>
      </c>
      <c r="F121" s="375">
        <f t="shared" si="27"/>
        <v>2.6936</v>
      </c>
      <c r="G121" s="375">
        <f t="shared" si="27"/>
        <v>3.1393414999999987</v>
      </c>
      <c r="H121" s="375">
        <f t="shared" si="27"/>
        <v>7.6572500000000012</v>
      </c>
      <c r="I121" s="375">
        <f t="shared" si="27"/>
        <v>7.2319930000000001</v>
      </c>
      <c r="J121" s="375">
        <f>(K120+J120)*(K119-J119)/2</f>
        <v>1.144418000000001</v>
      </c>
      <c r="K121" s="375">
        <f t="shared" si="27"/>
        <v>0.58147200000000054</v>
      </c>
      <c r="L121" s="375">
        <f t="shared" si="27"/>
        <v>0.21654599999999946</v>
      </c>
      <c r="M121" s="375">
        <f t="shared" si="27"/>
        <v>5.3445000000000048E-2</v>
      </c>
      <c r="N121" s="375">
        <f t="shared" si="27"/>
        <v>0</v>
      </c>
      <c r="O121" s="375">
        <f t="shared" si="27"/>
        <v>0</v>
      </c>
      <c r="P121" s="375">
        <f t="shared" si="27"/>
        <v>0</v>
      </c>
      <c r="Q121" s="375">
        <f t="shared" si="27"/>
        <v>0</v>
      </c>
      <c r="R121" s="375">
        <f t="shared" si="27"/>
        <v>0</v>
      </c>
      <c r="S121" s="375">
        <f>(T120+S120)*(T119-S119)/2</f>
        <v>0</v>
      </c>
      <c r="T121" s="375">
        <f t="shared" si="27"/>
        <v>0</v>
      </c>
      <c r="U121" s="375">
        <f t="shared" si="27"/>
        <v>0</v>
      </c>
      <c r="V121" s="375">
        <f t="shared" si="27"/>
        <v>0</v>
      </c>
      <c r="W121" s="375">
        <f>(X120+W120)*(X119-W119)/2</f>
        <v>0</v>
      </c>
      <c r="X121" s="375">
        <f>(Y120+X120)*(Y119-X119)/2</f>
        <v>0</v>
      </c>
      <c r="Y121" s="369"/>
    </row>
    <row r="122" spans="1:26" ht="12.9" thickBot="1" x14ac:dyDescent="0.35">
      <c r="A122" s="6" t="s">
        <v>391</v>
      </c>
    </row>
    <row r="123" spans="1:26" ht="12.9" thickBot="1" x14ac:dyDescent="0.35">
      <c r="A123" s="361" t="s">
        <v>392</v>
      </c>
      <c r="B123" s="359">
        <f>ROW(A123)</f>
        <v>123</v>
      </c>
      <c r="C123" s="363" t="s">
        <v>115</v>
      </c>
      <c r="D123" s="353">
        <f>SUM(B126:Y126)</f>
        <v>49.788765499999997</v>
      </c>
      <c r="E123" s="363" t="s">
        <v>114</v>
      </c>
      <c r="F123" s="354">
        <v>231</v>
      </c>
      <c r="G123" s="363" t="s">
        <v>56</v>
      </c>
      <c r="H123" s="64">
        <v>7.2999999999999995E-2</v>
      </c>
      <c r="I123" s="363" t="s">
        <v>273</v>
      </c>
      <c r="J123" s="355">
        <f>H123-L123</f>
        <v>2.7999999999999997E-2</v>
      </c>
      <c r="K123" s="363" t="s">
        <v>274</v>
      </c>
      <c r="L123" s="64">
        <v>4.4999999999999998E-2</v>
      </c>
      <c r="M123" s="363" t="s">
        <v>57</v>
      </c>
      <c r="N123" s="396">
        <v>50</v>
      </c>
      <c r="O123" s="363" t="s">
        <v>59</v>
      </c>
      <c r="P123" s="396">
        <v>50</v>
      </c>
      <c r="Q123" s="363" t="s">
        <v>60</v>
      </c>
      <c r="R123" s="65">
        <v>101</v>
      </c>
      <c r="S123" s="363" t="s">
        <v>61</v>
      </c>
      <c r="T123" s="65">
        <v>24</v>
      </c>
      <c r="U123" s="363" t="s">
        <v>54</v>
      </c>
      <c r="V123" s="66" t="s">
        <v>119</v>
      </c>
      <c r="W123" s="463" t="s">
        <v>396</v>
      </c>
      <c r="X123" s="465">
        <v>1</v>
      </c>
      <c r="Y123" s="463" t="s">
        <v>395</v>
      </c>
      <c r="Z123" s="358">
        <v>13</v>
      </c>
    </row>
    <row r="124" spans="1:26" x14ac:dyDescent="0.3">
      <c r="A124" s="362" t="s">
        <v>33</v>
      </c>
      <c r="B124" s="470">
        <v>0</v>
      </c>
      <c r="C124" s="470">
        <v>1E-3</v>
      </c>
      <c r="D124" s="470">
        <v>2.7E-2</v>
      </c>
      <c r="E124" s="470">
        <v>5.0999999999999997E-2</v>
      </c>
      <c r="F124" s="470">
        <v>0.06</v>
      </c>
      <c r="G124" s="470">
        <v>9.1999999999999998E-2</v>
      </c>
      <c r="H124" s="470">
        <v>0.11899999999999999</v>
      </c>
      <c r="I124" s="470">
        <v>0.17</v>
      </c>
      <c r="J124" s="470">
        <v>0.3</v>
      </c>
      <c r="K124" s="470">
        <v>0.46200000000000002</v>
      </c>
      <c r="L124" s="470">
        <v>0.56899999999999995</v>
      </c>
      <c r="M124" s="470">
        <v>0.67500000000000004</v>
      </c>
      <c r="N124" s="470">
        <v>0.77800000000000002</v>
      </c>
      <c r="O124" s="470">
        <v>0.84599999999999997</v>
      </c>
      <c r="P124" s="470">
        <v>0.91700000000000004</v>
      </c>
      <c r="Q124" s="470">
        <v>1.0089999999999999</v>
      </c>
      <c r="R124" s="470">
        <v>1.032</v>
      </c>
      <c r="S124" s="470">
        <v>1.0449999999999999</v>
      </c>
      <c r="T124" s="371">
        <v>2</v>
      </c>
      <c r="U124" s="371">
        <v>2</v>
      </c>
      <c r="V124" s="371">
        <v>2</v>
      </c>
      <c r="W124" s="371">
        <v>2</v>
      </c>
      <c r="X124" s="371">
        <v>2</v>
      </c>
      <c r="Y124" s="381">
        <v>1000</v>
      </c>
    </row>
    <row r="125" spans="1:26" x14ac:dyDescent="0.3">
      <c r="A125" s="378" t="s">
        <v>34</v>
      </c>
      <c r="B125" s="470">
        <v>0</v>
      </c>
      <c r="C125" s="470">
        <v>5.1449999999999996</v>
      </c>
      <c r="D125" s="470">
        <v>67.975999999999999</v>
      </c>
      <c r="E125" s="470">
        <v>53.807000000000002</v>
      </c>
      <c r="F125" s="470">
        <v>52.88</v>
      </c>
      <c r="G125" s="470">
        <v>55.915999999999997</v>
      </c>
      <c r="H125" s="470">
        <v>57.94</v>
      </c>
      <c r="I125" s="470">
        <v>59.710999999999999</v>
      </c>
      <c r="J125" s="470">
        <v>61.145000000000003</v>
      </c>
      <c r="K125" s="470">
        <v>58.951999999999998</v>
      </c>
      <c r="L125" s="470">
        <v>55.578000000000003</v>
      </c>
      <c r="M125" s="470">
        <v>52.204999999999998</v>
      </c>
      <c r="N125" s="470">
        <v>46.386000000000003</v>
      </c>
      <c r="O125" s="470">
        <v>38.119999999999997</v>
      </c>
      <c r="P125" s="470">
        <v>20.324999999999999</v>
      </c>
      <c r="Q125" s="470">
        <v>3.5419999999999998</v>
      </c>
      <c r="R125" s="470">
        <v>1.6020000000000001</v>
      </c>
      <c r="S125" s="470">
        <v>0</v>
      </c>
      <c r="T125" s="373">
        <f>S125</f>
        <v>0</v>
      </c>
      <c r="U125" s="373">
        <f>T125</f>
        <v>0</v>
      </c>
      <c r="V125" s="373">
        <f>U125</f>
        <v>0</v>
      </c>
      <c r="W125" s="373">
        <f>V125</f>
        <v>0</v>
      </c>
      <c r="X125" s="373">
        <f>W125</f>
        <v>0</v>
      </c>
      <c r="Y125" s="382">
        <v>0</v>
      </c>
    </row>
    <row r="126" spans="1:26" ht="12.9" thickBot="1" x14ac:dyDescent="0.35">
      <c r="A126" s="379" t="s">
        <v>116</v>
      </c>
      <c r="B126" s="374">
        <f t="shared" ref="B126:X126" si="28">(C125+B125)*(C124-B124)/2</f>
        <v>2.5724999999999997E-3</v>
      </c>
      <c r="C126" s="375">
        <f t="shared" si="28"/>
        <v>0.95057299999999989</v>
      </c>
      <c r="D126" s="375">
        <f t="shared" si="28"/>
        <v>1.4613959999999999</v>
      </c>
      <c r="E126" s="375">
        <f t="shared" si="28"/>
        <v>0.48009150000000012</v>
      </c>
      <c r="F126" s="375">
        <f t="shared" si="28"/>
        <v>1.7407359999999998</v>
      </c>
      <c r="G126" s="375">
        <f t="shared" si="28"/>
        <v>1.5370559999999998</v>
      </c>
      <c r="H126" s="375">
        <f t="shared" si="28"/>
        <v>3.0001005000000007</v>
      </c>
      <c r="I126" s="375">
        <f t="shared" si="28"/>
        <v>7.8556399999999984</v>
      </c>
      <c r="J126" s="375">
        <f t="shared" si="28"/>
        <v>9.727857000000002</v>
      </c>
      <c r="K126" s="375">
        <f t="shared" si="28"/>
        <v>6.1273549999999961</v>
      </c>
      <c r="L126" s="375">
        <f t="shared" si="28"/>
        <v>5.7124990000000055</v>
      </c>
      <c r="M126" s="375">
        <f t="shared" si="28"/>
        <v>5.0774364999999992</v>
      </c>
      <c r="N126" s="375">
        <f t="shared" si="28"/>
        <v>2.8732039999999976</v>
      </c>
      <c r="O126" s="375">
        <f t="shared" si="28"/>
        <v>2.0747975000000016</v>
      </c>
      <c r="P126" s="375">
        <f t="shared" si="28"/>
        <v>1.0978819999999982</v>
      </c>
      <c r="Q126" s="375">
        <f t="shared" si="28"/>
        <v>5.915600000000034E-2</v>
      </c>
      <c r="R126" s="375">
        <f t="shared" si="28"/>
        <v>1.0412999999999921E-2</v>
      </c>
      <c r="S126" s="375">
        <f t="shared" si="28"/>
        <v>0</v>
      </c>
      <c r="T126" s="375">
        <f t="shared" si="28"/>
        <v>0</v>
      </c>
      <c r="U126" s="375">
        <f t="shared" si="28"/>
        <v>0</v>
      </c>
      <c r="V126" s="375">
        <f t="shared" si="28"/>
        <v>0</v>
      </c>
      <c r="W126" s="375">
        <f t="shared" si="28"/>
        <v>0</v>
      </c>
      <c r="X126" s="375">
        <f t="shared" si="28"/>
        <v>0</v>
      </c>
      <c r="Y126" s="369"/>
    </row>
    <row r="127" spans="1:26" ht="12.9" thickBot="1" x14ac:dyDescent="0.35"/>
    <row r="128" spans="1:26" ht="12.9" thickBot="1" x14ac:dyDescent="0.35">
      <c r="A128" s="361" t="s">
        <v>393</v>
      </c>
      <c r="B128" s="359">
        <f>ROW(A128)</f>
        <v>128</v>
      </c>
      <c r="C128" s="363" t="s">
        <v>115</v>
      </c>
      <c r="D128" s="353">
        <f>SUM(B131:Y131)</f>
        <v>52.815674000000008</v>
      </c>
      <c r="E128" s="363" t="s">
        <v>114</v>
      </c>
      <c r="F128" s="354">
        <v>239</v>
      </c>
      <c r="G128" s="363" t="s">
        <v>56</v>
      </c>
      <c r="H128" s="64">
        <v>7.2999999999999995E-2</v>
      </c>
      <c r="I128" s="363" t="s">
        <v>273</v>
      </c>
      <c r="J128" s="355">
        <f>H128-L128</f>
        <v>2.8999999999999998E-2</v>
      </c>
      <c r="K128" s="363" t="s">
        <v>274</v>
      </c>
      <c r="L128" s="64">
        <v>4.3999999999999997E-2</v>
      </c>
      <c r="M128" s="363" t="s">
        <v>57</v>
      </c>
      <c r="N128" s="396">
        <v>50</v>
      </c>
      <c r="O128" s="363" t="s">
        <v>59</v>
      </c>
      <c r="P128" s="396">
        <v>50</v>
      </c>
      <c r="Q128" s="363" t="s">
        <v>60</v>
      </c>
      <c r="R128" s="65">
        <v>101</v>
      </c>
      <c r="S128" s="363" t="s">
        <v>61</v>
      </c>
      <c r="T128" s="65">
        <v>24</v>
      </c>
      <c r="U128" s="363" t="s">
        <v>54</v>
      </c>
      <c r="V128" s="66" t="s">
        <v>119</v>
      </c>
      <c r="W128" s="463" t="s">
        <v>396</v>
      </c>
      <c r="X128" s="465">
        <v>0.77</v>
      </c>
      <c r="Y128" s="463" t="s">
        <v>395</v>
      </c>
      <c r="Z128" s="358">
        <v>14</v>
      </c>
    </row>
    <row r="129" spans="1:26" x14ac:dyDescent="0.3">
      <c r="A129" s="362" t="s">
        <v>33</v>
      </c>
      <c r="B129" s="470">
        <v>0</v>
      </c>
      <c r="C129" s="470">
        <v>1E-3</v>
      </c>
      <c r="D129" s="470">
        <v>1.2999999999999999E-2</v>
      </c>
      <c r="E129" s="470">
        <v>2.3E-2</v>
      </c>
      <c r="F129" s="470">
        <v>5.1999999999999998E-2</v>
      </c>
      <c r="G129" s="470">
        <v>0.1</v>
      </c>
      <c r="H129" s="470">
        <v>0.379</v>
      </c>
      <c r="I129" s="470">
        <v>0.64100000000000001</v>
      </c>
      <c r="J129" s="470">
        <v>0.66500000000000004</v>
      </c>
      <c r="K129" s="470">
        <v>0.70599999999999996</v>
      </c>
      <c r="L129" s="470">
        <v>0.74399999999999999</v>
      </c>
      <c r="M129" s="470">
        <v>0.78700000000000003</v>
      </c>
      <c r="N129" s="470">
        <v>0.81599999999999995</v>
      </c>
      <c r="O129" s="371">
        <v>1</v>
      </c>
      <c r="P129" s="371">
        <v>1</v>
      </c>
      <c r="Q129" s="371">
        <v>1</v>
      </c>
      <c r="R129" s="371">
        <v>1</v>
      </c>
      <c r="S129" s="371">
        <v>1</v>
      </c>
      <c r="T129" s="371">
        <v>1</v>
      </c>
      <c r="U129" s="371">
        <v>1</v>
      </c>
      <c r="V129" s="371">
        <v>1</v>
      </c>
      <c r="W129" s="371">
        <v>2</v>
      </c>
      <c r="X129" s="371">
        <v>2</v>
      </c>
      <c r="Y129" s="381">
        <v>1000</v>
      </c>
    </row>
    <row r="130" spans="1:26" x14ac:dyDescent="0.3">
      <c r="A130" s="378" t="s">
        <v>34</v>
      </c>
      <c r="B130" s="470">
        <v>0</v>
      </c>
      <c r="C130" s="470">
        <v>8.3030000000000008</v>
      </c>
      <c r="D130" s="470">
        <v>85.68</v>
      </c>
      <c r="E130" s="470">
        <v>96.149000000000001</v>
      </c>
      <c r="F130" s="470">
        <v>78.820999999999998</v>
      </c>
      <c r="G130" s="470">
        <v>83.634</v>
      </c>
      <c r="H130" s="470">
        <v>77.858000000000004</v>
      </c>
      <c r="I130" s="470">
        <v>62.575000000000003</v>
      </c>
      <c r="J130" s="470">
        <v>55.716000000000001</v>
      </c>
      <c r="K130" s="470">
        <v>23.946999999999999</v>
      </c>
      <c r="L130" s="470">
        <v>9.1460000000000008</v>
      </c>
      <c r="M130" s="470">
        <v>2.7679999999999998</v>
      </c>
      <c r="N130" s="470">
        <v>0</v>
      </c>
      <c r="O130" s="373">
        <v>0</v>
      </c>
      <c r="P130" s="373">
        <v>0</v>
      </c>
      <c r="Q130" s="373">
        <v>0</v>
      </c>
      <c r="R130" s="373">
        <v>0</v>
      </c>
      <c r="S130" s="373">
        <v>0</v>
      </c>
      <c r="T130" s="373">
        <v>0</v>
      </c>
      <c r="U130" s="373">
        <v>0</v>
      </c>
      <c r="V130" s="373">
        <f>U130</f>
        <v>0</v>
      </c>
      <c r="W130" s="373">
        <f>V130</f>
        <v>0</v>
      </c>
      <c r="X130" s="373">
        <f>W130</f>
        <v>0</v>
      </c>
      <c r="Y130" s="382">
        <v>0</v>
      </c>
    </row>
    <row r="131" spans="1:26" ht="12.9" thickBot="1" x14ac:dyDescent="0.35">
      <c r="A131" s="379" t="s">
        <v>116</v>
      </c>
      <c r="B131" s="374">
        <f t="shared" ref="B131:X131" si="29">(C130+B130)*(C129-B129)/2</f>
        <v>4.1515000000000007E-3</v>
      </c>
      <c r="C131" s="375">
        <f t="shared" si="29"/>
        <v>0.56389800000000001</v>
      </c>
      <c r="D131" s="375">
        <f t="shared" si="29"/>
        <v>0.90914500000000009</v>
      </c>
      <c r="E131" s="375">
        <f t="shared" si="29"/>
        <v>2.5370649999999997</v>
      </c>
      <c r="F131" s="375">
        <f t="shared" si="29"/>
        <v>3.8989200000000004</v>
      </c>
      <c r="G131" s="375">
        <f t="shared" si="29"/>
        <v>22.528134000000005</v>
      </c>
      <c r="H131" s="375">
        <f t="shared" si="29"/>
        <v>18.396723000000001</v>
      </c>
      <c r="I131" s="375">
        <f t="shared" si="29"/>
        <v>1.4194920000000013</v>
      </c>
      <c r="J131" s="375">
        <f t="shared" si="29"/>
        <v>1.633091499999997</v>
      </c>
      <c r="K131" s="375">
        <f t="shared" si="29"/>
        <v>0.62876700000000063</v>
      </c>
      <c r="L131" s="375">
        <f t="shared" si="29"/>
        <v>0.25615100000000024</v>
      </c>
      <c r="M131" s="375">
        <f t="shared" si="29"/>
        <v>4.013599999999988E-2</v>
      </c>
      <c r="N131" s="375">
        <f t="shared" si="29"/>
        <v>0</v>
      </c>
      <c r="O131" s="375">
        <f t="shared" si="29"/>
        <v>0</v>
      </c>
      <c r="P131" s="375">
        <f t="shared" si="29"/>
        <v>0</v>
      </c>
      <c r="Q131" s="375">
        <f t="shared" si="29"/>
        <v>0</v>
      </c>
      <c r="R131" s="375">
        <f t="shared" si="29"/>
        <v>0</v>
      </c>
      <c r="S131" s="375">
        <f t="shared" si="29"/>
        <v>0</v>
      </c>
      <c r="T131" s="375">
        <f t="shared" si="29"/>
        <v>0</v>
      </c>
      <c r="U131" s="375">
        <f t="shared" si="29"/>
        <v>0</v>
      </c>
      <c r="V131" s="375">
        <f t="shared" si="29"/>
        <v>0</v>
      </c>
      <c r="W131" s="375">
        <f t="shared" si="29"/>
        <v>0</v>
      </c>
      <c r="X131" s="375">
        <f t="shared" si="29"/>
        <v>0</v>
      </c>
      <c r="Y131" s="369"/>
    </row>
    <row r="132" spans="1:26" ht="12.9" thickBot="1" x14ac:dyDescent="0.35">
      <c r="A132" s="6" t="s">
        <v>316</v>
      </c>
    </row>
    <row r="133" spans="1:26" ht="12.9" thickBot="1" x14ac:dyDescent="0.35">
      <c r="A133" s="361" t="s">
        <v>383</v>
      </c>
      <c r="B133" s="359">
        <f>ROW(A133)</f>
        <v>133</v>
      </c>
      <c r="C133" s="363" t="s">
        <v>115</v>
      </c>
      <c r="D133" s="353">
        <f>SUM(B136:Y136)</f>
        <v>41.835000000000015</v>
      </c>
      <c r="E133" s="363" t="s">
        <v>114</v>
      </c>
      <c r="F133" s="354">
        <f>D133/g/J133</f>
        <v>121.84359982525126</v>
      </c>
      <c r="G133" s="363" t="s">
        <v>56</v>
      </c>
      <c r="H133" s="64">
        <v>0.104</v>
      </c>
      <c r="I133" s="363" t="s">
        <v>273</v>
      </c>
      <c r="J133" s="355">
        <f>H133-L133</f>
        <v>3.4999999999999989E-2</v>
      </c>
      <c r="K133" s="363" t="s">
        <v>274</v>
      </c>
      <c r="L133" s="64">
        <v>6.9000000000000006E-2</v>
      </c>
      <c r="M133" s="363" t="s">
        <v>57</v>
      </c>
      <c r="N133" s="65">
        <v>49</v>
      </c>
      <c r="O133" s="363" t="s">
        <v>59</v>
      </c>
      <c r="P133" s="65">
        <v>49</v>
      </c>
      <c r="Q133" s="363" t="s">
        <v>60</v>
      </c>
      <c r="R133" s="65">
        <v>98</v>
      </c>
      <c r="S133" s="363" t="s">
        <v>61</v>
      </c>
      <c r="T133" s="65">
        <v>29</v>
      </c>
      <c r="U133" s="363" t="s">
        <v>54</v>
      </c>
      <c r="V133" s="66" t="s">
        <v>401</v>
      </c>
      <c r="W133" s="463" t="s">
        <v>396</v>
      </c>
      <c r="X133" s="465">
        <v>1.07</v>
      </c>
      <c r="Y133" s="463" t="s">
        <v>395</v>
      </c>
      <c r="Z133" s="358">
        <v>11</v>
      </c>
    </row>
    <row r="134" spans="1:26" x14ac:dyDescent="0.3">
      <c r="A134" s="362" t="s">
        <v>33</v>
      </c>
      <c r="B134" s="370">
        <v>0</v>
      </c>
      <c r="C134" s="371">
        <v>0.01</v>
      </c>
      <c r="D134" s="371">
        <v>0.02</v>
      </c>
      <c r="E134" s="371">
        <v>0.03</v>
      </c>
      <c r="F134" s="371">
        <v>0.04</v>
      </c>
      <c r="G134" s="371">
        <v>0.06</v>
      </c>
      <c r="H134" s="371">
        <v>7.0000000000000007E-2</v>
      </c>
      <c r="I134" s="371">
        <v>0.08</v>
      </c>
      <c r="J134" s="371">
        <v>0.1</v>
      </c>
      <c r="K134" s="371">
        <v>0.2</v>
      </c>
      <c r="L134" s="371">
        <v>0.3</v>
      </c>
      <c r="M134" s="371">
        <v>0.4</v>
      </c>
      <c r="N134" s="371">
        <v>0.5</v>
      </c>
      <c r="O134" s="371">
        <v>0.6</v>
      </c>
      <c r="P134" s="371">
        <v>0.7</v>
      </c>
      <c r="Q134" s="371">
        <v>0.8</v>
      </c>
      <c r="R134" s="371">
        <v>0.85</v>
      </c>
      <c r="S134" s="371">
        <v>0.92</v>
      </c>
      <c r="T134" s="371">
        <v>0.95</v>
      </c>
      <c r="U134" s="371">
        <v>0.99</v>
      </c>
      <c r="V134" s="371">
        <v>1.05</v>
      </c>
      <c r="W134" s="371">
        <v>1.05</v>
      </c>
      <c r="X134" s="371">
        <v>2</v>
      </c>
      <c r="Y134" s="381">
        <v>1000</v>
      </c>
    </row>
    <row r="135" spans="1:26" x14ac:dyDescent="0.3">
      <c r="A135" s="378" t="s">
        <v>34</v>
      </c>
      <c r="B135" s="372">
        <v>0</v>
      </c>
      <c r="C135" s="373">
        <v>12</v>
      </c>
      <c r="D135" s="373">
        <v>46</v>
      </c>
      <c r="E135" s="373">
        <v>75</v>
      </c>
      <c r="F135" s="373">
        <v>79</v>
      </c>
      <c r="G135" s="373">
        <v>77</v>
      </c>
      <c r="H135" s="373">
        <v>62</v>
      </c>
      <c r="I135" s="373">
        <v>32</v>
      </c>
      <c r="J135" s="373">
        <v>35</v>
      </c>
      <c r="K135" s="373">
        <v>38</v>
      </c>
      <c r="L135" s="373">
        <v>39</v>
      </c>
      <c r="M135" s="373">
        <v>41</v>
      </c>
      <c r="N135" s="373">
        <v>43</v>
      </c>
      <c r="O135" s="373">
        <v>43</v>
      </c>
      <c r="P135" s="373">
        <v>43</v>
      </c>
      <c r="Q135" s="373">
        <v>43</v>
      </c>
      <c r="R135" s="373">
        <v>47</v>
      </c>
      <c r="S135" s="373">
        <v>54</v>
      </c>
      <c r="T135" s="373">
        <v>32</v>
      </c>
      <c r="U135" s="373">
        <v>8</v>
      </c>
      <c r="V135" s="373">
        <v>0</v>
      </c>
      <c r="W135" s="373">
        <v>0</v>
      </c>
      <c r="X135" s="373">
        <v>0</v>
      </c>
      <c r="Y135" s="382">
        <v>0</v>
      </c>
    </row>
    <row r="136" spans="1:26" ht="12.9" thickBot="1" x14ac:dyDescent="0.35">
      <c r="A136" s="379" t="s">
        <v>116</v>
      </c>
      <c r="B136" s="374">
        <f t="shared" ref="B136:X136" si="30">(C135+B135)*(C134-B134)/2</f>
        <v>0.06</v>
      </c>
      <c r="C136" s="375">
        <f t="shared" si="30"/>
        <v>0.28999999999999998</v>
      </c>
      <c r="D136" s="375">
        <f t="shared" si="30"/>
        <v>0.60499999999999987</v>
      </c>
      <c r="E136" s="375">
        <f t="shared" si="30"/>
        <v>0.77000000000000013</v>
      </c>
      <c r="F136" s="375">
        <f t="shared" si="30"/>
        <v>1.5599999999999998</v>
      </c>
      <c r="G136" s="375">
        <f t="shared" si="30"/>
        <v>0.69500000000000062</v>
      </c>
      <c r="H136" s="375">
        <f t="shared" si="30"/>
        <v>0.46999999999999975</v>
      </c>
      <c r="I136" s="375">
        <f t="shared" si="30"/>
        <v>0.67000000000000015</v>
      </c>
      <c r="J136" s="375">
        <f t="shared" si="30"/>
        <v>3.6500000000000004</v>
      </c>
      <c r="K136" s="375">
        <f t="shared" si="30"/>
        <v>3.8499999999999992</v>
      </c>
      <c r="L136" s="375">
        <f t="shared" si="30"/>
        <v>4.0000000000000018</v>
      </c>
      <c r="M136" s="375">
        <f t="shared" si="30"/>
        <v>4.1999999999999993</v>
      </c>
      <c r="N136" s="375">
        <f t="shared" si="30"/>
        <v>4.2999999999999989</v>
      </c>
      <c r="O136" s="375">
        <f t="shared" si="30"/>
        <v>4.2999999999999989</v>
      </c>
      <c r="P136" s="375">
        <f t="shared" si="30"/>
        <v>4.3000000000000043</v>
      </c>
      <c r="Q136" s="375">
        <f t="shared" si="30"/>
        <v>2.2499999999999969</v>
      </c>
      <c r="R136" s="375">
        <f t="shared" si="30"/>
        <v>3.5350000000000033</v>
      </c>
      <c r="S136" s="375">
        <f t="shared" si="30"/>
        <v>1.2899999999999965</v>
      </c>
      <c r="T136" s="375">
        <f t="shared" si="30"/>
        <v>0.80000000000000071</v>
      </c>
      <c r="U136" s="375">
        <f t="shared" si="30"/>
        <v>0.24000000000000021</v>
      </c>
      <c r="V136" s="375">
        <f t="shared" si="30"/>
        <v>0</v>
      </c>
      <c r="W136" s="375">
        <f t="shared" si="30"/>
        <v>0</v>
      </c>
      <c r="X136" s="375">
        <f t="shared" si="30"/>
        <v>0</v>
      </c>
      <c r="Y136" s="369"/>
    </row>
    <row r="137" spans="1:26" ht="12.9" thickBot="1" x14ac:dyDescent="0.3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row>
    <row r="138" spans="1:26" ht="12.9" thickBot="1" x14ac:dyDescent="0.35">
      <c r="A138" s="361" t="s">
        <v>384</v>
      </c>
      <c r="B138" s="359">
        <f>ROW(A138)</f>
        <v>138</v>
      </c>
      <c r="C138" s="363" t="s">
        <v>115</v>
      </c>
      <c r="D138" s="353">
        <f>SUM(B141:Y141)</f>
        <v>52.564999999999998</v>
      </c>
      <c r="E138" s="363" t="s">
        <v>114</v>
      </c>
      <c r="F138" s="354">
        <f>D138/g/J138</f>
        <v>167.44712028542301</v>
      </c>
      <c r="G138" s="363" t="s">
        <v>56</v>
      </c>
      <c r="H138" s="64">
        <v>0.10100000000000001</v>
      </c>
      <c r="I138" s="363" t="s">
        <v>273</v>
      </c>
      <c r="J138" s="355">
        <f>H138-L138</f>
        <v>3.2000000000000001E-2</v>
      </c>
      <c r="K138" s="363" t="s">
        <v>274</v>
      </c>
      <c r="L138" s="64">
        <v>6.9000000000000006E-2</v>
      </c>
      <c r="M138" s="363" t="s">
        <v>57</v>
      </c>
      <c r="N138" s="65">
        <v>49</v>
      </c>
      <c r="O138" s="363" t="s">
        <v>59</v>
      </c>
      <c r="P138" s="65">
        <v>49</v>
      </c>
      <c r="Q138" s="363" t="s">
        <v>60</v>
      </c>
      <c r="R138" s="65">
        <v>98</v>
      </c>
      <c r="S138" s="363" t="s">
        <v>61</v>
      </c>
      <c r="T138" s="65">
        <v>29</v>
      </c>
      <c r="U138" s="363" t="s">
        <v>54</v>
      </c>
      <c r="V138" s="66" t="s">
        <v>402</v>
      </c>
      <c r="W138" s="463" t="s">
        <v>396</v>
      </c>
      <c r="X138" s="465">
        <v>1.8</v>
      </c>
      <c r="Y138" s="463" t="s">
        <v>395</v>
      </c>
      <c r="Z138" s="358">
        <v>12</v>
      </c>
    </row>
    <row r="139" spans="1:26" x14ac:dyDescent="0.3">
      <c r="A139" s="362" t="s">
        <v>33</v>
      </c>
      <c r="B139" s="370">
        <v>0</v>
      </c>
      <c r="C139" s="371">
        <v>0.01</v>
      </c>
      <c r="D139" s="371">
        <v>0.03</v>
      </c>
      <c r="E139" s="371">
        <v>0.04</v>
      </c>
      <c r="F139" s="371">
        <v>0.05</v>
      </c>
      <c r="G139" s="371">
        <v>0.06</v>
      </c>
      <c r="H139" s="371">
        <v>7.0000000000000007E-2</v>
      </c>
      <c r="I139" s="371">
        <v>0.08</v>
      </c>
      <c r="J139" s="371">
        <v>0.09</v>
      </c>
      <c r="K139" s="371">
        <v>0.1</v>
      </c>
      <c r="L139" s="371">
        <v>0.2</v>
      </c>
      <c r="M139" s="371">
        <v>0.3</v>
      </c>
      <c r="N139" s="371">
        <v>0.4</v>
      </c>
      <c r="O139" s="371">
        <v>0.5</v>
      </c>
      <c r="P139" s="371">
        <v>0.7</v>
      </c>
      <c r="Q139" s="371">
        <v>0.8</v>
      </c>
      <c r="R139" s="371">
        <v>0.9</v>
      </c>
      <c r="S139" s="371">
        <v>1</v>
      </c>
      <c r="T139" s="371">
        <v>1.1000000000000001</v>
      </c>
      <c r="U139" s="371">
        <v>1.24</v>
      </c>
      <c r="V139" s="371">
        <v>1.3</v>
      </c>
      <c r="W139" s="371">
        <v>1.5</v>
      </c>
      <c r="X139" s="371">
        <v>2</v>
      </c>
      <c r="Y139" s="381">
        <v>1000</v>
      </c>
    </row>
    <row r="140" spans="1:26" x14ac:dyDescent="0.3">
      <c r="A140" s="378" t="s">
        <v>34</v>
      </c>
      <c r="B140" s="372">
        <v>0</v>
      </c>
      <c r="C140" s="373">
        <v>12</v>
      </c>
      <c r="D140" s="373">
        <v>41</v>
      </c>
      <c r="E140" s="373">
        <v>42</v>
      </c>
      <c r="F140" s="373">
        <v>42</v>
      </c>
      <c r="G140" s="373">
        <v>40</v>
      </c>
      <c r="H140" s="373">
        <v>34</v>
      </c>
      <c r="I140" s="373">
        <v>34</v>
      </c>
      <c r="J140" s="373">
        <v>35</v>
      </c>
      <c r="K140" s="373">
        <v>36</v>
      </c>
      <c r="L140" s="373">
        <v>40</v>
      </c>
      <c r="M140" s="373">
        <v>42</v>
      </c>
      <c r="N140" s="373">
        <v>43</v>
      </c>
      <c r="O140" s="373">
        <v>43</v>
      </c>
      <c r="P140" s="373">
        <v>43</v>
      </c>
      <c r="Q140" s="373">
        <v>42</v>
      </c>
      <c r="R140" s="373">
        <v>41</v>
      </c>
      <c r="S140" s="373">
        <v>40</v>
      </c>
      <c r="T140" s="373">
        <v>38</v>
      </c>
      <c r="U140" s="373">
        <v>37</v>
      </c>
      <c r="V140" s="373">
        <v>12</v>
      </c>
      <c r="W140" s="373">
        <v>0</v>
      </c>
      <c r="X140" s="373">
        <v>0</v>
      </c>
      <c r="Y140" s="382">
        <v>0</v>
      </c>
    </row>
    <row r="141" spans="1:26" ht="12.9" thickBot="1" x14ac:dyDescent="0.35">
      <c r="A141" s="379" t="s">
        <v>116</v>
      </c>
      <c r="B141" s="374">
        <f t="shared" ref="B141:X141" si="31">(C140+B140)*(C139-B139)/2</f>
        <v>0.06</v>
      </c>
      <c r="C141" s="375">
        <f t="shared" si="31"/>
        <v>0.52999999999999992</v>
      </c>
      <c r="D141" s="375">
        <f t="shared" si="31"/>
        <v>0.41500000000000009</v>
      </c>
      <c r="E141" s="375">
        <f t="shared" si="31"/>
        <v>0.4200000000000001</v>
      </c>
      <c r="F141" s="375">
        <f t="shared" si="31"/>
        <v>0.40999999999999981</v>
      </c>
      <c r="G141" s="375">
        <f t="shared" si="31"/>
        <v>0.37000000000000033</v>
      </c>
      <c r="H141" s="375">
        <f t="shared" si="31"/>
        <v>0.33999999999999986</v>
      </c>
      <c r="I141" s="375">
        <f t="shared" si="31"/>
        <v>0.34499999999999981</v>
      </c>
      <c r="J141" s="375">
        <f t="shared" si="31"/>
        <v>0.35500000000000032</v>
      </c>
      <c r="K141" s="375">
        <f t="shared" si="31"/>
        <v>3.8000000000000003</v>
      </c>
      <c r="L141" s="375">
        <f t="shared" si="31"/>
        <v>4.0999999999999988</v>
      </c>
      <c r="M141" s="375">
        <f t="shared" si="31"/>
        <v>4.2500000000000018</v>
      </c>
      <c r="N141" s="375">
        <f t="shared" si="31"/>
        <v>4.2999999999999989</v>
      </c>
      <c r="O141" s="375">
        <f t="shared" si="31"/>
        <v>8.5999999999999979</v>
      </c>
      <c r="P141" s="375">
        <f t="shared" si="31"/>
        <v>4.2500000000000036</v>
      </c>
      <c r="Q141" s="375">
        <f t="shared" si="31"/>
        <v>4.1499999999999995</v>
      </c>
      <c r="R141" s="375">
        <f t="shared" si="31"/>
        <v>4.0499999999999989</v>
      </c>
      <c r="S141" s="375">
        <f t="shared" si="31"/>
        <v>3.9000000000000035</v>
      </c>
      <c r="T141" s="375">
        <f t="shared" si="31"/>
        <v>5.2499999999999964</v>
      </c>
      <c r="U141" s="375">
        <f t="shared" si="31"/>
        <v>1.4700000000000013</v>
      </c>
      <c r="V141" s="375">
        <f t="shared" si="31"/>
        <v>1.1999999999999997</v>
      </c>
      <c r="W141" s="375">
        <f t="shared" si="31"/>
        <v>0</v>
      </c>
      <c r="X141" s="375">
        <f t="shared" si="31"/>
        <v>0</v>
      </c>
      <c r="Y141" s="369"/>
    </row>
    <row r="142" spans="1:26" ht="12.9" thickBot="1" x14ac:dyDescent="0.35">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row>
    <row r="143" spans="1:26" ht="12.9" thickBot="1" x14ac:dyDescent="0.35">
      <c r="A143" s="361" t="s">
        <v>385</v>
      </c>
      <c r="B143" s="359">
        <f>ROW(A143)</f>
        <v>143</v>
      </c>
      <c r="C143" s="363" t="s">
        <v>115</v>
      </c>
      <c r="D143" s="353">
        <f>SUM(B146:Y146)</f>
        <v>54.110016122119539</v>
      </c>
      <c r="E143" s="363" t="s">
        <v>114</v>
      </c>
      <c r="F143" s="354">
        <f>D143/g/J143</f>
        <v>146.69685764124625</v>
      </c>
      <c r="G143" s="363" t="s">
        <v>56</v>
      </c>
      <c r="H143" s="64">
        <v>0.10580000000000001</v>
      </c>
      <c r="I143" s="363" t="s">
        <v>273</v>
      </c>
      <c r="J143" s="355">
        <f>H143-L143</f>
        <v>3.7600000000000008E-2</v>
      </c>
      <c r="K143" s="363" t="s">
        <v>274</v>
      </c>
      <c r="L143" s="64">
        <v>6.8199999999999997E-2</v>
      </c>
      <c r="M143" s="363" t="s">
        <v>57</v>
      </c>
      <c r="N143" s="65">
        <v>49</v>
      </c>
      <c r="O143" s="363" t="s">
        <v>59</v>
      </c>
      <c r="P143" s="65">
        <v>49</v>
      </c>
      <c r="Q143" s="363" t="s">
        <v>60</v>
      </c>
      <c r="R143" s="65">
        <v>98</v>
      </c>
      <c r="S143" s="363" t="s">
        <v>61</v>
      </c>
      <c r="T143" s="65">
        <v>29</v>
      </c>
      <c r="U143" s="363" t="s">
        <v>54</v>
      </c>
      <c r="V143" s="66" t="s">
        <v>401</v>
      </c>
      <c r="W143" s="463" t="s">
        <v>396</v>
      </c>
      <c r="X143" s="465">
        <v>1.9</v>
      </c>
      <c r="Y143" s="463" t="s">
        <v>395</v>
      </c>
      <c r="Z143" s="358">
        <v>12</v>
      </c>
    </row>
    <row r="144" spans="1:26" x14ac:dyDescent="0.3">
      <c r="A144" s="362" t="s">
        <v>33</v>
      </c>
      <c r="B144" s="370">
        <v>0</v>
      </c>
      <c r="C144" s="371">
        <v>2.5000000000000001E-2</v>
      </c>
      <c r="D144" s="371">
        <v>0.05</v>
      </c>
      <c r="E144" s="371">
        <v>7.4999999999999997E-2</v>
      </c>
      <c r="F144" s="371">
        <v>0.1</v>
      </c>
      <c r="G144" s="371">
        <v>0.15</v>
      </c>
      <c r="H144" s="371">
        <v>0.17499999999999999</v>
      </c>
      <c r="I144" s="371">
        <v>0.2</v>
      </c>
      <c r="J144" s="371">
        <v>0.3</v>
      </c>
      <c r="K144" s="371">
        <v>0.4</v>
      </c>
      <c r="L144" s="371">
        <v>0.5</v>
      </c>
      <c r="M144" s="371">
        <v>0.6</v>
      </c>
      <c r="N144" s="371">
        <v>0.7</v>
      </c>
      <c r="O144" s="371">
        <v>0.8</v>
      </c>
      <c r="P144" s="371">
        <v>0.9</v>
      </c>
      <c r="Q144" s="371">
        <v>1.1000000000000001</v>
      </c>
      <c r="R144" s="371">
        <v>1.2</v>
      </c>
      <c r="S144" s="371">
        <v>1.6</v>
      </c>
      <c r="T144" s="371">
        <v>1.7</v>
      </c>
      <c r="U144" s="371">
        <v>1.8</v>
      </c>
      <c r="V144" s="371">
        <v>1.9</v>
      </c>
      <c r="W144" s="371">
        <v>1.9999</v>
      </c>
      <c r="X144" s="371">
        <v>2</v>
      </c>
      <c r="Y144" s="381">
        <v>1000</v>
      </c>
    </row>
    <row r="145" spans="1:26" x14ac:dyDescent="0.3">
      <c r="A145" s="378" t="s">
        <v>34</v>
      </c>
      <c r="B145" s="372">
        <v>0</v>
      </c>
      <c r="C145" s="376">
        <v>15.2574001848975</v>
      </c>
      <c r="D145" s="376">
        <v>26.377954255522496</v>
      </c>
      <c r="E145" s="376">
        <v>21.484910464447498</v>
      </c>
      <c r="F145" s="376">
        <v>24.020396792549999</v>
      </c>
      <c r="G145" s="376">
        <v>28.11276069054</v>
      </c>
      <c r="H145" s="376">
        <v>28.691029502212498</v>
      </c>
      <c r="I145" s="376">
        <v>29.180333881319996</v>
      </c>
      <c r="J145" s="376">
        <v>31.493409128009997</v>
      </c>
      <c r="K145" s="376">
        <v>32.560982318789996</v>
      </c>
      <c r="L145" s="376">
        <v>32.827875616484995</v>
      </c>
      <c r="M145" s="376">
        <v>32.649946751354996</v>
      </c>
      <c r="N145" s="376">
        <v>32.383053453659997</v>
      </c>
      <c r="O145" s="376">
        <v>32.249606804812501</v>
      </c>
      <c r="P145" s="376">
        <v>31.804784641987499</v>
      </c>
      <c r="Q145" s="376">
        <v>30.559282586077497</v>
      </c>
      <c r="R145" s="376">
        <v>30.069978206969999</v>
      </c>
      <c r="S145" s="376">
        <v>26.377954255522496</v>
      </c>
      <c r="T145" s="376">
        <v>24.865558901917499</v>
      </c>
      <c r="U145" s="376">
        <v>18.4601197572375</v>
      </c>
      <c r="V145" s="376">
        <v>7.5174945517424998</v>
      </c>
      <c r="W145" s="376">
        <v>1.3789487047575</v>
      </c>
      <c r="X145" s="373">
        <v>0</v>
      </c>
      <c r="Y145" s="382">
        <v>0</v>
      </c>
    </row>
    <row r="146" spans="1:26" ht="12.9" thickBot="1" x14ac:dyDescent="0.35">
      <c r="A146" s="379" t="s">
        <v>116</v>
      </c>
      <c r="B146" s="374">
        <f t="shared" ref="B146:V146" si="32">(C145+B145)*(C144-B144)/2</f>
        <v>0.19071750231121876</v>
      </c>
      <c r="C146" s="375">
        <f t="shared" si="32"/>
        <v>0.52044193050525001</v>
      </c>
      <c r="D146" s="375">
        <f t="shared" si="32"/>
        <v>0.5982858089996248</v>
      </c>
      <c r="E146" s="375">
        <f t="shared" si="32"/>
        <v>0.56881634071246889</v>
      </c>
      <c r="F146" s="375">
        <f t="shared" si="32"/>
        <v>1.3033289370772498</v>
      </c>
      <c r="G146" s="375">
        <f t="shared" si="32"/>
        <v>0.71004737740940616</v>
      </c>
      <c r="H146" s="375">
        <f t="shared" si="32"/>
        <v>0.72339204229415688</v>
      </c>
      <c r="I146" s="375">
        <f t="shared" si="32"/>
        <v>3.0336871504664993</v>
      </c>
      <c r="J146" s="375">
        <f>(K145+J145)*(K144-J144)/2</f>
        <v>3.2027195723400008</v>
      </c>
      <c r="K146" s="375">
        <f t="shared" si="32"/>
        <v>3.2694428967637483</v>
      </c>
      <c r="L146" s="375">
        <f t="shared" si="32"/>
        <v>3.2738911183919988</v>
      </c>
      <c r="M146" s="375">
        <f t="shared" si="32"/>
        <v>3.2516500102507484</v>
      </c>
      <c r="N146" s="375">
        <f t="shared" si="32"/>
        <v>3.2316330129236279</v>
      </c>
      <c r="O146" s="375">
        <f t="shared" si="32"/>
        <v>3.202719572339999</v>
      </c>
      <c r="P146" s="375">
        <f t="shared" si="32"/>
        <v>6.2364067228065014</v>
      </c>
      <c r="Q146" s="375">
        <f t="shared" si="32"/>
        <v>3.0314630396523707</v>
      </c>
      <c r="R146" s="375">
        <f t="shared" si="32"/>
        <v>11.289586492498502</v>
      </c>
      <c r="S146" s="375">
        <f>(T145+S145)*(T144-S144)/2</f>
        <v>2.5621756578719963</v>
      </c>
      <c r="T146" s="375">
        <f t="shared" si="32"/>
        <v>2.1662839329577519</v>
      </c>
      <c r="U146" s="375">
        <f t="shared" si="32"/>
        <v>1.2988807154489983</v>
      </c>
      <c r="V146" s="375">
        <f t="shared" si="32"/>
        <v>0.44437734066217544</v>
      </c>
      <c r="W146" s="375">
        <f>(X145+W145)*(X144-W144)/2</f>
        <v>6.894743523786741E-5</v>
      </c>
      <c r="X146" s="375">
        <f>(Y145+X145)*(Y144-X144)/2</f>
        <v>0</v>
      </c>
      <c r="Y146" s="369"/>
    </row>
    <row r="147" spans="1:26" ht="12.9" thickBot="1" x14ac:dyDescent="0.35">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row>
    <row r="148" spans="1:26" ht="12.9" thickBot="1" x14ac:dyDescent="0.35">
      <c r="A148" s="361" t="s">
        <v>547</v>
      </c>
      <c r="B148" s="359">
        <f>ROW(A148)</f>
        <v>148</v>
      </c>
      <c r="C148" s="363" t="s">
        <v>115</v>
      </c>
      <c r="D148" s="353">
        <f>SUM(B151:Y151)</f>
        <v>55.589492</v>
      </c>
      <c r="E148" s="363" t="s">
        <v>114</v>
      </c>
      <c r="F148" s="354">
        <f>D148/g/J148</f>
        <v>177.08171508664634</v>
      </c>
      <c r="G148" s="363" t="s">
        <v>56</v>
      </c>
      <c r="H148" s="64">
        <v>0.10199999999999999</v>
      </c>
      <c r="I148" s="363" t="s">
        <v>273</v>
      </c>
      <c r="J148" s="355">
        <f>H148-L148</f>
        <v>3.1999999999999987E-2</v>
      </c>
      <c r="K148" s="363" t="s">
        <v>274</v>
      </c>
      <c r="L148" s="64">
        <v>7.0000000000000007E-2</v>
      </c>
      <c r="M148" s="363" t="s">
        <v>57</v>
      </c>
      <c r="N148" s="65">
        <v>49</v>
      </c>
      <c r="O148" s="363" t="s">
        <v>59</v>
      </c>
      <c r="P148" s="65">
        <v>49</v>
      </c>
      <c r="Q148" s="363" t="s">
        <v>60</v>
      </c>
      <c r="R148" s="65">
        <v>98</v>
      </c>
      <c r="S148" s="363" t="s">
        <v>61</v>
      </c>
      <c r="T148" s="65">
        <v>29</v>
      </c>
      <c r="U148" s="363" t="s">
        <v>54</v>
      </c>
      <c r="V148" s="66" t="s">
        <v>402</v>
      </c>
      <c r="W148" s="463" t="s">
        <v>396</v>
      </c>
      <c r="X148" s="465">
        <v>0.45</v>
      </c>
      <c r="Y148" s="463" t="s">
        <v>395</v>
      </c>
      <c r="Z148" s="358">
        <v>12</v>
      </c>
    </row>
    <row r="149" spans="1:26" x14ac:dyDescent="0.3">
      <c r="A149" s="362" t="s">
        <v>33</v>
      </c>
      <c r="B149" s="370">
        <v>0</v>
      </c>
      <c r="C149" s="371">
        <v>1E-3</v>
      </c>
      <c r="D149" s="371">
        <v>2.3E-2</v>
      </c>
      <c r="E149" s="371">
        <v>0.05</v>
      </c>
      <c r="F149" s="371">
        <v>5.8999999999999997E-2</v>
      </c>
      <c r="G149" s="371">
        <v>9.5000000000000001E-2</v>
      </c>
      <c r="H149" s="371">
        <v>0.21199999999999999</v>
      </c>
      <c r="I149" s="371">
        <v>0.34399999999999997</v>
      </c>
      <c r="J149" s="371">
        <v>1.5669999999999999</v>
      </c>
      <c r="K149" s="371">
        <v>1.631</v>
      </c>
      <c r="L149" s="371">
        <v>1.663</v>
      </c>
      <c r="M149" s="371">
        <v>1.7849999999999999</v>
      </c>
      <c r="N149" s="371">
        <v>1.8280000000000001</v>
      </c>
      <c r="O149" s="371">
        <v>2</v>
      </c>
      <c r="P149" s="371">
        <v>2</v>
      </c>
      <c r="Q149" s="371">
        <v>2</v>
      </c>
      <c r="R149" s="371">
        <v>2</v>
      </c>
      <c r="S149" s="371">
        <v>2</v>
      </c>
      <c r="T149" s="371">
        <v>2</v>
      </c>
      <c r="U149" s="371">
        <v>2</v>
      </c>
      <c r="V149" s="371">
        <v>2</v>
      </c>
      <c r="W149" s="371">
        <v>2</v>
      </c>
      <c r="X149" s="371">
        <v>2</v>
      </c>
      <c r="Y149" s="381">
        <v>1000</v>
      </c>
    </row>
    <row r="150" spans="1:26" x14ac:dyDescent="0.3">
      <c r="A150" s="378" t="s">
        <v>34</v>
      </c>
      <c r="B150" s="372">
        <v>0</v>
      </c>
      <c r="C150" s="373">
        <v>3.4830000000000001</v>
      </c>
      <c r="D150" s="373">
        <v>64.052999999999997</v>
      </c>
      <c r="E150" s="373">
        <v>31.347000000000001</v>
      </c>
      <c r="F150" s="373">
        <v>28.459</v>
      </c>
      <c r="G150" s="373">
        <v>32.027000000000001</v>
      </c>
      <c r="H150" s="373">
        <v>36.189</v>
      </c>
      <c r="I150" s="373">
        <v>37.548999999999999</v>
      </c>
      <c r="J150" s="373">
        <v>26.164999999999999</v>
      </c>
      <c r="K150" s="373">
        <v>26.93</v>
      </c>
      <c r="L150" s="373">
        <v>25.315999999999999</v>
      </c>
      <c r="M150" s="373">
        <v>3.653</v>
      </c>
      <c r="N150" s="373">
        <v>0</v>
      </c>
      <c r="O150" s="373">
        <v>0</v>
      </c>
      <c r="P150" s="373">
        <v>0</v>
      </c>
      <c r="Q150" s="373">
        <v>0</v>
      </c>
      <c r="R150" s="373">
        <v>0</v>
      </c>
      <c r="S150" s="373">
        <v>0</v>
      </c>
      <c r="T150" s="373">
        <v>0</v>
      </c>
      <c r="U150" s="373">
        <v>0</v>
      </c>
      <c r="V150" s="373">
        <v>0</v>
      </c>
      <c r="W150" s="373">
        <v>0</v>
      </c>
      <c r="X150" s="373">
        <v>0</v>
      </c>
      <c r="Y150" s="382">
        <v>0</v>
      </c>
    </row>
    <row r="151" spans="1:26" ht="12.9" thickBot="1" x14ac:dyDescent="0.35">
      <c r="A151" s="379" t="s">
        <v>116</v>
      </c>
      <c r="B151" s="374">
        <f t="shared" ref="B151" si="33">(C150+B150)*(C149-B149)/2</f>
        <v>1.7415E-3</v>
      </c>
      <c r="C151" s="375">
        <f t="shared" ref="C151" si="34">(D150+C150)*(D149-C149)/2</f>
        <v>0.742896</v>
      </c>
      <c r="D151" s="375">
        <f t="shared" ref="D151" si="35">(E150+D150)*(E149-D149)/2</f>
        <v>1.2879000000000003</v>
      </c>
      <c r="E151" s="375">
        <f t="shared" ref="E151" si="36">(F150+E150)*(F149-E149)/2</f>
        <v>0.26912699999999984</v>
      </c>
      <c r="F151" s="375">
        <f t="shared" ref="F151" si="37">(G150+F150)*(G149-F149)/2</f>
        <v>1.0887480000000003</v>
      </c>
      <c r="G151" s="375">
        <f t="shared" ref="G151" si="38">(H150+G150)*(H149-G149)/2</f>
        <v>3.9906360000000003</v>
      </c>
      <c r="H151" s="375">
        <f t="shared" ref="H151" si="39">(I150+H150)*(I149-H149)/2</f>
        <v>4.8667079999999991</v>
      </c>
      <c r="I151" s="375">
        <f t="shared" ref="I151" si="40">(J150+I150)*(J149-I149)/2</f>
        <v>38.961110999999995</v>
      </c>
      <c r="J151" s="375">
        <f t="shared" ref="J151" si="41">(K150+J150)*(K149-J149)/2</f>
        <v>1.6990400000000014</v>
      </c>
      <c r="K151" s="375">
        <f t="shared" ref="K151" si="42">(L150+K150)*(L149-K149)/2</f>
        <v>0.83593600000000068</v>
      </c>
      <c r="L151" s="375">
        <f t="shared" ref="L151" si="43">(M150+L150)*(M149-L149)/2</f>
        <v>1.7671089999999983</v>
      </c>
      <c r="M151" s="375">
        <f t="shared" ref="M151" si="44">(N150+M150)*(N149-M149)/2</f>
        <v>7.8539500000000276E-2</v>
      </c>
      <c r="N151" s="375">
        <f t="shared" ref="N151" si="45">(O150+N150)*(O149-N149)/2</f>
        <v>0</v>
      </c>
      <c r="O151" s="375">
        <f t="shared" ref="O151" si="46">(P150+O150)*(P149-O149)/2</f>
        <v>0</v>
      </c>
      <c r="P151" s="375">
        <f t="shared" ref="P151" si="47">(Q150+P150)*(Q149-P149)/2</f>
        <v>0</v>
      </c>
      <c r="Q151" s="375">
        <f t="shared" ref="Q151" si="48">(R150+Q150)*(R149-Q149)/2</f>
        <v>0</v>
      </c>
      <c r="R151" s="375">
        <f t="shared" ref="R151" si="49">(S150+R150)*(S149-R149)/2</f>
        <v>0</v>
      </c>
      <c r="S151" s="375">
        <f t="shared" ref="S151" si="50">(T150+S150)*(T149-S149)/2</f>
        <v>0</v>
      </c>
      <c r="T151" s="375">
        <f t="shared" ref="T151" si="51">(U150+T150)*(U149-T149)/2</f>
        <v>0</v>
      </c>
      <c r="U151" s="375">
        <f t="shared" ref="U151" si="52">(V150+U150)*(V149-U149)/2</f>
        <v>0</v>
      </c>
      <c r="V151" s="375">
        <f t="shared" ref="V151" si="53">(W150+V150)*(W149-V149)/2</f>
        <v>0</v>
      </c>
      <c r="W151" s="375">
        <f t="shared" ref="W151" si="54">(X150+W150)*(X149-W149)/2</f>
        <v>0</v>
      </c>
      <c r="X151" s="375">
        <f t="shared" ref="X151" si="55">(Y150+X150)*(Y149-X149)/2</f>
        <v>0</v>
      </c>
      <c r="Y151" s="369"/>
    </row>
    <row r="152" spans="1:26" ht="12.9" thickBot="1" x14ac:dyDescent="0.35">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row>
    <row r="153" spans="1:26" ht="12.9" thickBot="1" x14ac:dyDescent="0.35">
      <c r="A153" s="361" t="s">
        <v>386</v>
      </c>
      <c r="B153" s="359">
        <f>ROW(A153)</f>
        <v>153</v>
      </c>
      <c r="C153" s="363" t="s">
        <v>115</v>
      </c>
      <c r="D153" s="353">
        <f>SUM(B156:Y156)</f>
        <v>55.705884500000003</v>
      </c>
      <c r="E153" s="363" t="s">
        <v>114</v>
      </c>
      <c r="F153" s="354">
        <f>D153/g/J153</f>
        <v>180.84329814241278</v>
      </c>
      <c r="G153" s="363" t="s">
        <v>56</v>
      </c>
      <c r="H153" s="64">
        <v>0.1062</v>
      </c>
      <c r="I153" s="363" t="s">
        <v>273</v>
      </c>
      <c r="J153" s="355">
        <f>H153-L153</f>
        <v>3.1400000000000011E-2</v>
      </c>
      <c r="K153" s="363" t="s">
        <v>274</v>
      </c>
      <c r="L153" s="64">
        <v>7.4799999999999991E-2</v>
      </c>
      <c r="M153" s="363" t="s">
        <v>57</v>
      </c>
      <c r="N153" s="65">
        <v>49</v>
      </c>
      <c r="O153" s="363" t="s">
        <v>59</v>
      </c>
      <c r="P153" s="65">
        <v>49</v>
      </c>
      <c r="Q153" s="363" t="s">
        <v>60</v>
      </c>
      <c r="R153" s="65">
        <v>98</v>
      </c>
      <c r="S153" s="363" t="s">
        <v>61</v>
      </c>
      <c r="T153" s="65">
        <v>29</v>
      </c>
      <c r="U153" s="363" t="s">
        <v>54</v>
      </c>
      <c r="V153" s="66" t="s">
        <v>402</v>
      </c>
      <c r="W153" s="463" t="s">
        <v>396</v>
      </c>
      <c r="X153" s="465">
        <v>0.45</v>
      </c>
      <c r="Y153" s="463" t="s">
        <v>395</v>
      </c>
      <c r="Z153" s="358">
        <v>14</v>
      </c>
    </row>
    <row r="154" spans="1:26" x14ac:dyDescent="0.3">
      <c r="A154" s="362" t="s">
        <v>33</v>
      </c>
      <c r="B154" s="370">
        <v>0</v>
      </c>
      <c r="C154" s="371">
        <v>1.2999999999999999E-2</v>
      </c>
      <c r="D154" s="371">
        <v>1.7000000000000001E-2</v>
      </c>
      <c r="E154" s="371">
        <v>0.04</v>
      </c>
      <c r="F154" s="371">
        <v>0.125</v>
      </c>
      <c r="G154" s="371">
        <v>0.17899999999999999</v>
      </c>
      <c r="H154" s="371">
        <v>0.222</v>
      </c>
      <c r="I154" s="371">
        <v>0.28899999999999998</v>
      </c>
      <c r="J154" s="371">
        <v>0.35399999999999998</v>
      </c>
      <c r="K154" s="371">
        <v>0.39400000000000002</v>
      </c>
      <c r="L154" s="371">
        <v>0.40600000000000003</v>
      </c>
      <c r="M154" s="371">
        <v>0.41599999999999998</v>
      </c>
      <c r="N154" s="371">
        <v>0.42299999999999999</v>
      </c>
      <c r="O154" s="371">
        <v>0.43099999999999999</v>
      </c>
      <c r="P154" s="371">
        <v>0.44700000000000001</v>
      </c>
      <c r="Q154" s="371">
        <v>0.45300000000000001</v>
      </c>
      <c r="R154" s="371">
        <v>0.45500000000000002</v>
      </c>
      <c r="S154" s="371">
        <v>0.45500000000000002</v>
      </c>
      <c r="T154" s="371">
        <v>0.45500000000000002</v>
      </c>
      <c r="U154" s="371">
        <v>0.45500000000000002</v>
      </c>
      <c r="V154" s="371">
        <v>0.45500000000000002</v>
      </c>
      <c r="W154" s="371">
        <v>0.45500000000000002</v>
      </c>
      <c r="X154" s="371">
        <v>2</v>
      </c>
      <c r="Y154" s="381">
        <v>1000</v>
      </c>
    </row>
    <row r="155" spans="1:26" x14ac:dyDescent="0.3">
      <c r="A155" s="378" t="s">
        <v>34</v>
      </c>
      <c r="B155" s="372">
        <v>0</v>
      </c>
      <c r="C155" s="373">
        <v>79.242000000000004</v>
      </c>
      <c r="D155" s="373">
        <v>90.427000000000007</v>
      </c>
      <c r="E155" s="373">
        <v>101.422</v>
      </c>
      <c r="F155" s="373">
        <v>127.583</v>
      </c>
      <c r="G155" s="373">
        <v>136.114</v>
      </c>
      <c r="H155" s="373">
        <v>139.905</v>
      </c>
      <c r="I155" s="373">
        <v>143.50700000000001</v>
      </c>
      <c r="J155" s="373">
        <v>138.578</v>
      </c>
      <c r="K155" s="373">
        <v>125.498</v>
      </c>
      <c r="L155" s="373">
        <v>123.602</v>
      </c>
      <c r="M155" s="373">
        <v>125.11799999999999</v>
      </c>
      <c r="N155" s="373">
        <v>130.047</v>
      </c>
      <c r="O155" s="373">
        <v>120.569</v>
      </c>
      <c r="P155" s="373">
        <v>25.591999999999999</v>
      </c>
      <c r="Q155" s="373">
        <v>8.7200000000000006</v>
      </c>
      <c r="R155" s="373">
        <v>0</v>
      </c>
      <c r="S155" s="373">
        <v>0</v>
      </c>
      <c r="T155" s="373">
        <v>0</v>
      </c>
      <c r="U155" s="373">
        <v>0</v>
      </c>
      <c r="V155" s="373">
        <v>0</v>
      </c>
      <c r="W155" s="373">
        <v>0</v>
      </c>
      <c r="X155" s="373">
        <v>0</v>
      </c>
      <c r="Y155" s="382">
        <v>0</v>
      </c>
    </row>
    <row r="156" spans="1:26" ht="12.9" thickBot="1" x14ac:dyDescent="0.35">
      <c r="A156" s="379" t="s">
        <v>116</v>
      </c>
      <c r="B156" s="374">
        <f t="shared" ref="B156:X156" si="56">(C155+B155)*(C154-B154)/2</f>
        <v>0.515073</v>
      </c>
      <c r="C156" s="375">
        <f t="shared" si="56"/>
        <v>0.3393380000000002</v>
      </c>
      <c r="D156" s="375">
        <f t="shared" si="56"/>
        <v>2.2062634999999999</v>
      </c>
      <c r="E156" s="375">
        <f t="shared" si="56"/>
        <v>9.7327124999999981</v>
      </c>
      <c r="F156" s="375">
        <f t="shared" si="56"/>
        <v>7.1198189999999988</v>
      </c>
      <c r="G156" s="375">
        <f t="shared" si="56"/>
        <v>5.9344085000000018</v>
      </c>
      <c r="H156" s="375">
        <f t="shared" si="56"/>
        <v>9.4943019999999976</v>
      </c>
      <c r="I156" s="375">
        <f t="shared" si="56"/>
        <v>9.167762500000002</v>
      </c>
      <c r="J156" s="375">
        <f t="shared" si="56"/>
        <v>5.2815200000000049</v>
      </c>
      <c r="K156" s="375">
        <f t="shared" si="56"/>
        <v>1.4946000000000015</v>
      </c>
      <c r="L156" s="375">
        <f t="shared" si="56"/>
        <v>1.2435999999999943</v>
      </c>
      <c r="M156" s="375">
        <f t="shared" si="56"/>
        <v>0.89307750000000075</v>
      </c>
      <c r="N156" s="375">
        <f t="shared" si="56"/>
        <v>1.0024640000000009</v>
      </c>
      <c r="O156" s="375">
        <f t="shared" si="56"/>
        <v>1.169288000000001</v>
      </c>
      <c r="P156" s="375">
        <f t="shared" si="56"/>
        <v>0.10293600000000008</v>
      </c>
      <c r="Q156" s="375">
        <f t="shared" si="56"/>
        <v>8.720000000000009E-3</v>
      </c>
      <c r="R156" s="375">
        <f t="shared" si="56"/>
        <v>0</v>
      </c>
      <c r="S156" s="375">
        <f t="shared" si="56"/>
        <v>0</v>
      </c>
      <c r="T156" s="375">
        <f t="shared" si="56"/>
        <v>0</v>
      </c>
      <c r="U156" s="375">
        <f t="shared" si="56"/>
        <v>0</v>
      </c>
      <c r="V156" s="375">
        <f t="shared" si="56"/>
        <v>0</v>
      </c>
      <c r="W156" s="375">
        <f t="shared" si="56"/>
        <v>0</v>
      </c>
      <c r="X156" s="375">
        <f t="shared" si="56"/>
        <v>0</v>
      </c>
      <c r="Y156" s="369"/>
    </row>
    <row r="157" spans="1:26" ht="12.9" thickBot="1" x14ac:dyDescent="0.35">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row>
    <row r="158" spans="1:26" ht="12.9" thickBot="1" x14ac:dyDescent="0.35">
      <c r="A158" s="361" t="s">
        <v>387</v>
      </c>
      <c r="B158" s="359">
        <f>ROW(A158)</f>
        <v>158</v>
      </c>
      <c r="C158" s="363" t="s">
        <v>115</v>
      </c>
      <c r="D158" s="353">
        <f>SUM(B161:Y161)</f>
        <v>57.190000000000005</v>
      </c>
      <c r="E158" s="363" t="s">
        <v>114</v>
      </c>
      <c r="F158" s="354">
        <f>D158/g/J158</f>
        <v>188.05695307618953</v>
      </c>
      <c r="G158" s="363" t="s">
        <v>56</v>
      </c>
      <c r="H158" s="64">
        <v>9.9000000000000005E-2</v>
      </c>
      <c r="I158" s="363" t="s">
        <v>273</v>
      </c>
      <c r="J158" s="355">
        <f>H158-L158</f>
        <v>3.1E-2</v>
      </c>
      <c r="K158" s="363" t="s">
        <v>274</v>
      </c>
      <c r="L158" s="64">
        <v>6.8000000000000005E-2</v>
      </c>
      <c r="M158" s="363" t="s">
        <v>57</v>
      </c>
      <c r="N158" s="65">
        <v>49</v>
      </c>
      <c r="O158" s="363" t="s">
        <v>59</v>
      </c>
      <c r="P158" s="65">
        <v>49</v>
      </c>
      <c r="Q158" s="363" t="s">
        <v>60</v>
      </c>
      <c r="R158" s="65">
        <v>98</v>
      </c>
      <c r="S158" s="363" t="s">
        <v>61</v>
      </c>
      <c r="T158" s="65">
        <v>29</v>
      </c>
      <c r="U158" s="363" t="s">
        <v>54</v>
      </c>
      <c r="V158" s="66" t="s">
        <v>402</v>
      </c>
      <c r="W158" s="463" t="s">
        <v>396</v>
      </c>
      <c r="X158" s="465">
        <v>0.96</v>
      </c>
      <c r="Y158" s="463" t="s">
        <v>395</v>
      </c>
      <c r="Z158" s="358">
        <v>12</v>
      </c>
    </row>
    <row r="159" spans="1:26" x14ac:dyDescent="0.3">
      <c r="A159" s="362" t="s">
        <v>33</v>
      </c>
      <c r="B159" s="370">
        <v>0</v>
      </c>
      <c r="C159" s="371">
        <v>0.01</v>
      </c>
      <c r="D159" s="371">
        <v>0.02</v>
      </c>
      <c r="E159" s="371">
        <v>0.03</v>
      </c>
      <c r="F159" s="371">
        <v>0.04</v>
      </c>
      <c r="G159" s="371">
        <v>7.0000000000000007E-2</v>
      </c>
      <c r="H159" s="371">
        <v>0.1</v>
      </c>
      <c r="I159" s="371">
        <v>0.2</v>
      </c>
      <c r="J159" s="371">
        <v>0.3</v>
      </c>
      <c r="K159" s="371">
        <v>0.4</v>
      </c>
      <c r="L159" s="371">
        <v>0.5</v>
      </c>
      <c r="M159" s="371">
        <v>0.6</v>
      </c>
      <c r="N159" s="371">
        <v>0.7</v>
      </c>
      <c r="O159" s="371">
        <v>0.87</v>
      </c>
      <c r="P159" s="371">
        <v>0.9</v>
      </c>
      <c r="Q159" s="371">
        <v>0.97</v>
      </c>
      <c r="R159" s="371">
        <v>0.97</v>
      </c>
      <c r="S159" s="371">
        <v>0.97</v>
      </c>
      <c r="T159" s="371">
        <v>0.97</v>
      </c>
      <c r="U159" s="371">
        <v>0.97</v>
      </c>
      <c r="V159" s="371">
        <v>0.97</v>
      </c>
      <c r="W159" s="371">
        <v>0.97</v>
      </c>
      <c r="X159" s="371">
        <v>2</v>
      </c>
      <c r="Y159" s="381">
        <v>1000</v>
      </c>
    </row>
    <row r="160" spans="1:26" x14ac:dyDescent="0.3">
      <c r="A160" s="378" t="s">
        <v>34</v>
      </c>
      <c r="B160" s="372">
        <v>0</v>
      </c>
      <c r="C160" s="373">
        <v>16</v>
      </c>
      <c r="D160" s="373">
        <v>62</v>
      </c>
      <c r="E160" s="373">
        <v>67</v>
      </c>
      <c r="F160" s="373">
        <v>71</v>
      </c>
      <c r="G160" s="373">
        <v>58</v>
      </c>
      <c r="H160" s="373">
        <v>63</v>
      </c>
      <c r="I160" s="373">
        <v>67</v>
      </c>
      <c r="J160" s="373">
        <v>69</v>
      </c>
      <c r="K160" s="373">
        <v>67</v>
      </c>
      <c r="L160" s="373">
        <v>65</v>
      </c>
      <c r="M160" s="373">
        <v>63</v>
      </c>
      <c r="N160" s="373">
        <v>61</v>
      </c>
      <c r="O160" s="373">
        <v>60</v>
      </c>
      <c r="P160" s="373">
        <v>23</v>
      </c>
      <c r="Q160" s="373">
        <v>0</v>
      </c>
      <c r="R160" s="373">
        <v>0</v>
      </c>
      <c r="S160" s="373">
        <v>0</v>
      </c>
      <c r="T160" s="373">
        <v>0</v>
      </c>
      <c r="U160" s="373">
        <v>0</v>
      </c>
      <c r="V160" s="373">
        <v>0</v>
      </c>
      <c r="W160" s="373">
        <v>0</v>
      </c>
      <c r="X160" s="373">
        <v>0</v>
      </c>
      <c r="Y160" s="382">
        <v>0</v>
      </c>
    </row>
    <row r="161" spans="1:26" ht="12.9" thickBot="1" x14ac:dyDescent="0.35">
      <c r="A161" s="379" t="s">
        <v>116</v>
      </c>
      <c r="B161" s="374">
        <f t="shared" ref="B161:X161" si="57">(C160+B160)*(C159-B159)/2</f>
        <v>0.08</v>
      </c>
      <c r="C161" s="375">
        <f t="shared" si="57"/>
        <v>0.39</v>
      </c>
      <c r="D161" s="375">
        <f t="shared" si="57"/>
        <v>0.64499999999999991</v>
      </c>
      <c r="E161" s="375">
        <f t="shared" si="57"/>
        <v>0.69000000000000017</v>
      </c>
      <c r="F161" s="375">
        <f t="shared" si="57"/>
        <v>1.9350000000000003</v>
      </c>
      <c r="G161" s="375">
        <f t="shared" si="57"/>
        <v>1.8149999999999999</v>
      </c>
      <c r="H161" s="375">
        <f t="shared" si="57"/>
        <v>6.5</v>
      </c>
      <c r="I161" s="375">
        <f t="shared" si="57"/>
        <v>6.7999999999999989</v>
      </c>
      <c r="J161" s="375">
        <f t="shared" si="57"/>
        <v>6.8000000000000025</v>
      </c>
      <c r="K161" s="375">
        <f t="shared" si="57"/>
        <v>6.5999999999999988</v>
      </c>
      <c r="L161" s="375">
        <f t="shared" si="57"/>
        <v>6.3999999999999986</v>
      </c>
      <c r="M161" s="375">
        <f t="shared" si="57"/>
        <v>6.1999999999999984</v>
      </c>
      <c r="N161" s="375">
        <f t="shared" si="57"/>
        <v>10.285000000000002</v>
      </c>
      <c r="O161" s="375">
        <f t="shared" si="57"/>
        <v>1.245000000000001</v>
      </c>
      <c r="P161" s="375">
        <f t="shared" si="57"/>
        <v>0.80499999999999949</v>
      </c>
      <c r="Q161" s="375">
        <f t="shared" si="57"/>
        <v>0</v>
      </c>
      <c r="R161" s="375">
        <f t="shared" si="57"/>
        <v>0</v>
      </c>
      <c r="S161" s="375">
        <f t="shared" si="57"/>
        <v>0</v>
      </c>
      <c r="T161" s="375">
        <f t="shared" si="57"/>
        <v>0</v>
      </c>
      <c r="U161" s="375">
        <f t="shared" si="57"/>
        <v>0</v>
      </c>
      <c r="V161" s="375">
        <f t="shared" si="57"/>
        <v>0</v>
      </c>
      <c r="W161" s="375">
        <f t="shared" si="57"/>
        <v>0</v>
      </c>
      <c r="X161" s="375">
        <f t="shared" si="57"/>
        <v>0</v>
      </c>
      <c r="Y161" s="369"/>
    </row>
    <row r="162" spans="1:26" ht="12.9" thickBot="1" x14ac:dyDescent="0.35">
      <c r="A162" s="6" t="s">
        <v>317</v>
      </c>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row>
    <row r="163" spans="1:26" ht="12.9" thickBot="1" x14ac:dyDescent="0.35">
      <c r="A163" s="361" t="s">
        <v>323</v>
      </c>
      <c r="B163" s="359">
        <f>ROW(A163)</f>
        <v>163</v>
      </c>
      <c r="C163" s="363" t="s">
        <v>115</v>
      </c>
      <c r="D163" s="353">
        <f>SUM(B166:Y166)</f>
        <v>59.702267000000006</v>
      </c>
      <c r="E163" s="363" t="s">
        <v>114</v>
      </c>
      <c r="F163" s="354">
        <f>D163/g/J163</f>
        <v>190.77924771281306</v>
      </c>
      <c r="G163" s="363" t="s">
        <v>56</v>
      </c>
      <c r="H163" s="64">
        <v>9.3899999999999997E-2</v>
      </c>
      <c r="I163" s="363" t="s">
        <v>273</v>
      </c>
      <c r="J163" s="355">
        <f>H163-L163</f>
        <v>3.1899999999999998E-2</v>
      </c>
      <c r="K163" s="363" t="s">
        <v>274</v>
      </c>
      <c r="L163" s="64">
        <f>0.095-0.033</f>
        <v>6.2E-2</v>
      </c>
      <c r="M163" s="363" t="s">
        <v>57</v>
      </c>
      <c r="N163" s="396">
        <v>66.5</v>
      </c>
      <c r="O163" s="363" t="s">
        <v>59</v>
      </c>
      <c r="P163" s="396">
        <v>66.5</v>
      </c>
      <c r="Q163" s="363" t="s">
        <v>60</v>
      </c>
      <c r="R163" s="65">
        <v>133</v>
      </c>
      <c r="S163" s="363" t="s">
        <v>61</v>
      </c>
      <c r="T163" s="65">
        <v>24</v>
      </c>
      <c r="U163" s="363" t="s">
        <v>54</v>
      </c>
      <c r="V163" s="66" t="s">
        <v>401</v>
      </c>
      <c r="W163" s="463" t="s">
        <v>396</v>
      </c>
      <c r="X163" s="465">
        <v>1.2</v>
      </c>
      <c r="Y163" s="463" t="s">
        <v>395</v>
      </c>
      <c r="Z163" s="358">
        <v>13</v>
      </c>
    </row>
    <row r="164" spans="1:26" x14ac:dyDescent="0.3">
      <c r="A164" s="362" t="s">
        <v>33</v>
      </c>
      <c r="B164" s="370">
        <v>0</v>
      </c>
      <c r="C164" s="371">
        <v>1.4999999999999999E-2</v>
      </c>
      <c r="D164" s="371">
        <v>2.1999999999999999E-2</v>
      </c>
      <c r="E164" s="371">
        <v>6.4000000000000001E-2</v>
      </c>
      <c r="F164" s="371">
        <v>0.11799999999999999</v>
      </c>
      <c r="G164" s="371">
        <v>0.34200000000000003</v>
      </c>
      <c r="H164" s="371">
        <v>0.53600000000000003</v>
      </c>
      <c r="I164" s="371">
        <v>0.74299999999999999</v>
      </c>
      <c r="J164" s="371">
        <v>0.88400000000000001</v>
      </c>
      <c r="K164" s="371">
        <v>0.97599999999999998</v>
      </c>
      <c r="L164" s="371">
        <v>1.0960000000000001</v>
      </c>
      <c r="M164" s="371">
        <v>1.246</v>
      </c>
      <c r="N164" s="371">
        <v>1.298</v>
      </c>
      <c r="O164" s="371">
        <v>2</v>
      </c>
      <c r="P164" s="371">
        <v>2</v>
      </c>
      <c r="Q164" s="371">
        <v>2</v>
      </c>
      <c r="R164" s="371">
        <v>2</v>
      </c>
      <c r="S164" s="371">
        <v>2</v>
      </c>
      <c r="T164" s="371">
        <v>2</v>
      </c>
      <c r="U164" s="371">
        <v>2</v>
      </c>
      <c r="V164" s="371">
        <v>2</v>
      </c>
      <c r="W164" s="371">
        <v>2</v>
      </c>
      <c r="X164" s="371">
        <f t="shared" ref="T164:X165" si="58">W164</f>
        <v>2</v>
      </c>
      <c r="Y164" s="381">
        <v>1000</v>
      </c>
    </row>
    <row r="165" spans="1:26" x14ac:dyDescent="0.3">
      <c r="A165" s="378" t="s">
        <v>34</v>
      </c>
      <c r="B165" s="372">
        <v>0</v>
      </c>
      <c r="C165" s="373">
        <v>64.981999999999999</v>
      </c>
      <c r="D165" s="373">
        <v>69.516000000000005</v>
      </c>
      <c r="E165" s="373">
        <v>55.536999999999999</v>
      </c>
      <c r="F165" s="373">
        <v>62.81</v>
      </c>
      <c r="G165" s="373">
        <v>62.149000000000001</v>
      </c>
      <c r="H165" s="373">
        <v>59.41</v>
      </c>
      <c r="I165" s="373">
        <v>53.837000000000003</v>
      </c>
      <c r="J165" s="373">
        <v>46.942</v>
      </c>
      <c r="K165" s="373">
        <v>40.046999999999997</v>
      </c>
      <c r="L165" s="373">
        <v>12.561999999999999</v>
      </c>
      <c r="M165" s="373">
        <v>2.0779999999999998</v>
      </c>
      <c r="N165" s="373">
        <v>0</v>
      </c>
      <c r="O165" s="373">
        <v>0</v>
      </c>
      <c r="P165" s="373">
        <v>0</v>
      </c>
      <c r="Q165" s="373">
        <v>0</v>
      </c>
      <c r="R165" s="373">
        <v>0</v>
      </c>
      <c r="S165" s="373">
        <v>0</v>
      </c>
      <c r="T165" s="373">
        <f t="shared" si="58"/>
        <v>0</v>
      </c>
      <c r="U165" s="373">
        <f t="shared" si="58"/>
        <v>0</v>
      </c>
      <c r="V165" s="373">
        <f t="shared" si="58"/>
        <v>0</v>
      </c>
      <c r="W165" s="373">
        <f t="shared" si="58"/>
        <v>0</v>
      </c>
      <c r="X165" s="373">
        <f t="shared" si="58"/>
        <v>0</v>
      </c>
      <c r="Y165" s="382">
        <v>0</v>
      </c>
    </row>
    <row r="166" spans="1:26" ht="12.9" thickBot="1" x14ac:dyDescent="0.35">
      <c r="A166" s="379" t="s">
        <v>116</v>
      </c>
      <c r="B166" s="374">
        <f t="shared" ref="B166:V166" si="59">(C165+B165)*(C164-B164)/2</f>
        <v>0.48736499999999999</v>
      </c>
      <c r="C166" s="375">
        <f t="shared" si="59"/>
        <v>0.47074299999999991</v>
      </c>
      <c r="D166" s="375">
        <f t="shared" si="59"/>
        <v>2.6261130000000001</v>
      </c>
      <c r="E166" s="375">
        <f t="shared" si="59"/>
        <v>3.1953689999999999</v>
      </c>
      <c r="F166" s="375">
        <f t="shared" si="59"/>
        <v>13.995408000000003</v>
      </c>
      <c r="G166" s="375">
        <f t="shared" si="59"/>
        <v>11.791223</v>
      </c>
      <c r="H166" s="375">
        <f t="shared" si="59"/>
        <v>11.721064499999997</v>
      </c>
      <c r="I166" s="375">
        <f t="shared" si="59"/>
        <v>7.1049195000000003</v>
      </c>
      <c r="J166" s="375">
        <f>(K165+J165)*(K164-J164)/2</f>
        <v>4.0014939999999992</v>
      </c>
      <c r="K166" s="375">
        <f t="shared" si="59"/>
        <v>3.1565400000000023</v>
      </c>
      <c r="L166" s="375">
        <f t="shared" si="59"/>
        <v>1.0979999999999992</v>
      </c>
      <c r="M166" s="375">
        <f t="shared" si="59"/>
        <v>5.4028000000000041E-2</v>
      </c>
      <c r="N166" s="375">
        <f t="shared" si="59"/>
        <v>0</v>
      </c>
      <c r="O166" s="375">
        <f t="shared" si="59"/>
        <v>0</v>
      </c>
      <c r="P166" s="375">
        <f t="shared" si="59"/>
        <v>0</v>
      </c>
      <c r="Q166" s="375">
        <f t="shared" si="59"/>
        <v>0</v>
      </c>
      <c r="R166" s="375">
        <f t="shared" si="59"/>
        <v>0</v>
      </c>
      <c r="S166" s="375">
        <f>(T165+S165)*(T164-S164)/2</f>
        <v>0</v>
      </c>
      <c r="T166" s="375">
        <f t="shared" si="59"/>
        <v>0</v>
      </c>
      <c r="U166" s="375">
        <f t="shared" si="59"/>
        <v>0</v>
      </c>
      <c r="V166" s="375">
        <f t="shared" si="59"/>
        <v>0</v>
      </c>
      <c r="W166" s="375">
        <f>(X165+W165)*(X164-W164)/2</f>
        <v>0</v>
      </c>
      <c r="X166" s="375">
        <f>(Y165+X165)*(Y164-X164)/2</f>
        <v>0</v>
      </c>
      <c r="Y166" s="369"/>
    </row>
    <row r="167" spans="1:26" ht="12.9" thickBot="1" x14ac:dyDescent="0.35"/>
    <row r="168" spans="1:26" ht="12.9" thickBot="1" x14ac:dyDescent="0.35">
      <c r="A168" s="361" t="s">
        <v>324</v>
      </c>
      <c r="B168" s="359">
        <f>ROW(A168)</f>
        <v>168</v>
      </c>
      <c r="C168" s="363" t="s">
        <v>115</v>
      </c>
      <c r="D168" s="353">
        <f>SUM(B171:Y171)</f>
        <v>68.380602999999994</v>
      </c>
      <c r="E168" s="363" t="s">
        <v>114</v>
      </c>
      <c r="F168" s="354">
        <f>D168/g/J168</f>
        <v>134.04807300243078</v>
      </c>
      <c r="G168" s="363" t="s">
        <v>56</v>
      </c>
      <c r="H168" s="64">
        <v>0.1075</v>
      </c>
      <c r="I168" s="363" t="s">
        <v>273</v>
      </c>
      <c r="J168" s="355">
        <f>H168-L168</f>
        <v>5.1999999999999998E-2</v>
      </c>
      <c r="K168" s="363" t="s">
        <v>274</v>
      </c>
      <c r="L168" s="64">
        <v>5.5500000000000001E-2</v>
      </c>
      <c r="M168" s="363" t="s">
        <v>57</v>
      </c>
      <c r="N168" s="396">
        <v>66.5</v>
      </c>
      <c r="O168" s="363" t="s">
        <v>59</v>
      </c>
      <c r="P168" s="396">
        <v>66.5</v>
      </c>
      <c r="Q168" s="363" t="s">
        <v>60</v>
      </c>
      <c r="R168" s="65">
        <v>133</v>
      </c>
      <c r="S168" s="363" t="s">
        <v>61</v>
      </c>
      <c r="T168" s="65">
        <v>24</v>
      </c>
      <c r="U168" s="363" t="s">
        <v>54</v>
      </c>
      <c r="V168" s="66" t="s">
        <v>401</v>
      </c>
      <c r="W168" s="463" t="s">
        <v>396</v>
      </c>
      <c r="X168" s="465">
        <v>0.86</v>
      </c>
      <c r="Y168" s="463" t="s">
        <v>395</v>
      </c>
      <c r="Z168" s="358">
        <v>13</v>
      </c>
    </row>
    <row r="169" spans="1:26" x14ac:dyDescent="0.3">
      <c r="A169" s="362" t="s">
        <v>33</v>
      </c>
      <c r="B169" s="370">
        <v>0</v>
      </c>
      <c r="C169" s="371">
        <v>5.0000000000000001E-3</v>
      </c>
      <c r="D169" s="371">
        <v>1.2999999999999999E-2</v>
      </c>
      <c r="E169" s="371">
        <v>2.1999999999999999E-2</v>
      </c>
      <c r="F169" s="371">
        <v>4.2999999999999997E-2</v>
      </c>
      <c r="G169" s="371">
        <v>0.11899999999999999</v>
      </c>
      <c r="H169" s="371">
        <v>0.19800000000000001</v>
      </c>
      <c r="I169" s="371">
        <v>0.26700000000000002</v>
      </c>
      <c r="J169" s="371">
        <v>0.34300000000000003</v>
      </c>
      <c r="K169" s="371">
        <v>0.40400000000000003</v>
      </c>
      <c r="L169" s="371">
        <v>0.498</v>
      </c>
      <c r="M169" s="371">
        <v>0.55500000000000005</v>
      </c>
      <c r="N169" s="371">
        <v>0.622</v>
      </c>
      <c r="O169" s="371">
        <v>0.66300000000000003</v>
      </c>
      <c r="P169" s="371">
        <v>0.70399999999999996</v>
      </c>
      <c r="Q169" s="371">
        <v>0.72899999999999998</v>
      </c>
      <c r="R169" s="371">
        <v>0.747</v>
      </c>
      <c r="S169" s="371">
        <v>0.76800000000000002</v>
      </c>
      <c r="T169" s="371">
        <v>0.82099999999999995</v>
      </c>
      <c r="U169" s="371">
        <v>0.85199999999999998</v>
      </c>
      <c r="V169" s="371">
        <v>0.89200000000000002</v>
      </c>
      <c r="W169" s="371">
        <v>1</v>
      </c>
      <c r="X169" s="371">
        <v>2</v>
      </c>
      <c r="Y169" s="381">
        <v>1000</v>
      </c>
    </row>
    <row r="170" spans="1:26" x14ac:dyDescent="0.3">
      <c r="A170" s="378" t="s">
        <v>34</v>
      </c>
      <c r="B170" s="372">
        <v>0</v>
      </c>
      <c r="C170" s="373">
        <v>60</v>
      </c>
      <c r="D170" s="373">
        <v>89.007000000000005</v>
      </c>
      <c r="E170" s="373">
        <v>96.290999999999997</v>
      </c>
      <c r="F170" s="373">
        <v>81.721999999999994</v>
      </c>
      <c r="G170" s="373">
        <v>85.563000000000002</v>
      </c>
      <c r="H170" s="373">
        <v>87.947000000000003</v>
      </c>
      <c r="I170" s="373">
        <v>89.272000000000006</v>
      </c>
      <c r="J170" s="373">
        <v>89.933999999999997</v>
      </c>
      <c r="K170" s="373">
        <v>90.861000000000004</v>
      </c>
      <c r="L170" s="373">
        <v>91.522999999999996</v>
      </c>
      <c r="M170" s="373">
        <v>89.668999999999997</v>
      </c>
      <c r="N170" s="373">
        <v>83.974000000000004</v>
      </c>
      <c r="O170" s="373">
        <v>80.53</v>
      </c>
      <c r="P170" s="373">
        <v>78.94</v>
      </c>
      <c r="Q170" s="373">
        <v>74.171999999999997</v>
      </c>
      <c r="R170" s="373">
        <v>66.887</v>
      </c>
      <c r="S170" s="373">
        <v>53.774999999999999</v>
      </c>
      <c r="T170" s="373">
        <v>18.542999999999999</v>
      </c>
      <c r="U170" s="373">
        <v>7.8150000000000004</v>
      </c>
      <c r="V170" s="373">
        <v>2.1190000000000002</v>
      </c>
      <c r="W170" s="373">
        <v>0</v>
      </c>
      <c r="X170" s="373">
        <v>0</v>
      </c>
      <c r="Y170" s="382">
        <v>0</v>
      </c>
    </row>
    <row r="171" spans="1:26" ht="12.9" thickBot="1" x14ac:dyDescent="0.35">
      <c r="A171" s="379" t="s">
        <v>116</v>
      </c>
      <c r="B171" s="374">
        <f t="shared" ref="B171:X171" si="60">(C170+B170)*(C169-B169)/2</f>
        <v>0.15</v>
      </c>
      <c r="C171" s="375">
        <f t="shared" si="60"/>
        <v>0.596028</v>
      </c>
      <c r="D171" s="375">
        <f t="shared" si="60"/>
        <v>0.83384099999999994</v>
      </c>
      <c r="E171" s="375">
        <f t="shared" si="60"/>
        <v>1.8691364999999995</v>
      </c>
      <c r="F171" s="375">
        <f t="shared" si="60"/>
        <v>6.3568299999999995</v>
      </c>
      <c r="G171" s="375">
        <f t="shared" si="60"/>
        <v>6.8536450000000011</v>
      </c>
      <c r="H171" s="375">
        <f t="shared" si="60"/>
        <v>6.1140555000000001</v>
      </c>
      <c r="I171" s="375">
        <f t="shared" si="60"/>
        <v>6.8098280000000013</v>
      </c>
      <c r="J171" s="375">
        <f t="shared" si="60"/>
        <v>5.5142475000000006</v>
      </c>
      <c r="K171" s="375">
        <f t="shared" si="60"/>
        <v>8.5720479999999988</v>
      </c>
      <c r="L171" s="375">
        <f t="shared" si="60"/>
        <v>5.1639720000000047</v>
      </c>
      <c r="M171" s="375">
        <f t="shared" si="60"/>
        <v>5.8170404999999956</v>
      </c>
      <c r="N171" s="375">
        <f t="shared" si="60"/>
        <v>3.3723320000000032</v>
      </c>
      <c r="O171" s="375">
        <f t="shared" si="60"/>
        <v>3.2691349999999941</v>
      </c>
      <c r="P171" s="375">
        <f t="shared" si="60"/>
        <v>1.9139000000000017</v>
      </c>
      <c r="Q171" s="375">
        <f t="shared" si="60"/>
        <v>1.2695310000000011</v>
      </c>
      <c r="R171" s="375">
        <f t="shared" si="60"/>
        <v>1.2669510000000013</v>
      </c>
      <c r="S171" s="375">
        <f t="shared" si="60"/>
        <v>1.9164269999999977</v>
      </c>
      <c r="T171" s="375">
        <f t="shared" si="60"/>
        <v>0.40854900000000038</v>
      </c>
      <c r="U171" s="375">
        <f t="shared" si="60"/>
        <v>0.19868000000000019</v>
      </c>
      <c r="V171" s="375">
        <f t="shared" si="60"/>
        <v>0.114426</v>
      </c>
      <c r="W171" s="375">
        <f t="shared" si="60"/>
        <v>0</v>
      </c>
      <c r="X171" s="375">
        <f t="shared" si="60"/>
        <v>0</v>
      </c>
      <c r="Y171" s="369"/>
    </row>
    <row r="172" spans="1:26" ht="12.9" thickBot="1" x14ac:dyDescent="0.35">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row>
    <row r="173" spans="1:26" ht="12.9" thickBot="1" x14ac:dyDescent="0.35">
      <c r="A173" s="361" t="s">
        <v>325</v>
      </c>
      <c r="B173" s="359">
        <f>ROW(A173)</f>
        <v>173</v>
      </c>
      <c r="C173" s="363" t="s">
        <v>115</v>
      </c>
      <c r="D173" s="353">
        <f>SUM(B176:Y176)</f>
        <v>67.985428500000012</v>
      </c>
      <c r="E173" s="363" t="s">
        <v>114</v>
      </c>
      <c r="F173" s="354">
        <f>D173/g/J173</f>
        <v>181.89545859519862</v>
      </c>
      <c r="G173" s="363" t="s">
        <v>56</v>
      </c>
      <c r="H173" s="64">
        <v>9.1799999999999993E-2</v>
      </c>
      <c r="I173" s="363" t="s">
        <v>273</v>
      </c>
      <c r="J173" s="355">
        <f>H173-L173</f>
        <v>3.8099999999999988E-2</v>
      </c>
      <c r="K173" s="363" t="s">
        <v>274</v>
      </c>
      <c r="L173" s="64">
        <v>5.3700000000000005E-2</v>
      </c>
      <c r="M173" s="363" t="s">
        <v>57</v>
      </c>
      <c r="N173" s="396">
        <v>66.5</v>
      </c>
      <c r="O173" s="363" t="s">
        <v>59</v>
      </c>
      <c r="P173" s="396">
        <v>66.5</v>
      </c>
      <c r="Q173" s="363" t="s">
        <v>60</v>
      </c>
      <c r="R173" s="65">
        <v>133</v>
      </c>
      <c r="S173" s="363" t="s">
        <v>61</v>
      </c>
      <c r="T173" s="65">
        <v>24</v>
      </c>
      <c r="U173" s="363" t="s">
        <v>54</v>
      </c>
      <c r="V173" s="66" t="s">
        <v>401</v>
      </c>
      <c r="W173" s="463" t="s">
        <v>396</v>
      </c>
      <c r="X173" s="465">
        <v>0.33</v>
      </c>
      <c r="Y173" s="463" t="s">
        <v>395</v>
      </c>
      <c r="Z173" s="358">
        <v>15</v>
      </c>
    </row>
    <row r="174" spans="1:26" x14ac:dyDescent="0.3">
      <c r="A174" s="362" t="s">
        <v>33</v>
      </c>
      <c r="B174" s="370">
        <v>0</v>
      </c>
      <c r="C174" s="371">
        <v>4.0000000000000001E-3</v>
      </c>
      <c r="D174" s="371">
        <v>7.0000000000000001E-3</v>
      </c>
      <c r="E174" s="371">
        <v>0.01</v>
      </c>
      <c r="F174" s="371">
        <v>2.1999999999999999E-2</v>
      </c>
      <c r="G174" s="371">
        <v>2.8000000000000001E-2</v>
      </c>
      <c r="H174" s="371">
        <v>4.1000000000000002E-2</v>
      </c>
      <c r="I174" s="371">
        <v>5.8000000000000003E-2</v>
      </c>
      <c r="J174" s="371">
        <v>7.6999999999999999E-2</v>
      </c>
      <c r="K174" s="371">
        <v>8.8999999999999996E-2</v>
      </c>
      <c r="L174" s="371">
        <v>9.7000000000000003E-2</v>
      </c>
      <c r="M174" s="371">
        <v>0.11899999999999999</v>
      </c>
      <c r="N174" s="371">
        <v>0.14699999999999999</v>
      </c>
      <c r="O174" s="371">
        <v>0.17699999999999999</v>
      </c>
      <c r="P174" s="371">
        <v>0.20699999999999999</v>
      </c>
      <c r="Q174" s="371">
        <v>0.253</v>
      </c>
      <c r="R174" s="371">
        <v>0.25900000000000001</v>
      </c>
      <c r="S174" s="371">
        <v>0.27200000000000002</v>
      </c>
      <c r="T174" s="371">
        <v>0.28000000000000003</v>
      </c>
      <c r="U174" s="371">
        <v>0.28599999999999998</v>
      </c>
      <c r="V174" s="371">
        <v>0.29399999999999998</v>
      </c>
      <c r="W174" s="371">
        <v>0.32800000000000001</v>
      </c>
      <c r="X174" s="371">
        <v>2</v>
      </c>
      <c r="Y174" s="381">
        <v>1000</v>
      </c>
    </row>
    <row r="175" spans="1:26" x14ac:dyDescent="0.3">
      <c r="A175" s="378" t="s">
        <v>34</v>
      </c>
      <c r="B175" s="372">
        <v>0</v>
      </c>
      <c r="C175" s="376">
        <v>100.52800000000001</v>
      </c>
      <c r="D175" s="376">
        <v>197.49299999999999</v>
      </c>
      <c r="E175" s="376">
        <v>222.03200000000001</v>
      </c>
      <c r="F175" s="376">
        <v>241.42500000000001</v>
      </c>
      <c r="G175" s="376">
        <v>237.863</v>
      </c>
      <c r="H175" s="376">
        <v>239.446</v>
      </c>
      <c r="I175" s="376">
        <v>252.50700000000001</v>
      </c>
      <c r="J175" s="376">
        <v>263.98399999999998</v>
      </c>
      <c r="K175" s="376">
        <v>275.46199999999999</v>
      </c>
      <c r="L175" s="376">
        <v>271.50400000000002</v>
      </c>
      <c r="M175" s="376">
        <v>278.62799999999999</v>
      </c>
      <c r="N175" s="376">
        <v>281.39800000000002</v>
      </c>
      <c r="O175" s="376">
        <v>272.29599999999999</v>
      </c>
      <c r="P175" s="376">
        <v>258.44299999999998</v>
      </c>
      <c r="Q175" s="376">
        <v>218.47</v>
      </c>
      <c r="R175" s="376">
        <v>188.786</v>
      </c>
      <c r="S175" s="376">
        <v>74.802000000000007</v>
      </c>
      <c r="T175" s="376">
        <v>31.265999999999998</v>
      </c>
      <c r="U175" s="376">
        <v>15.831</v>
      </c>
      <c r="V175" s="376">
        <v>8.7070000000000007</v>
      </c>
      <c r="W175" s="376">
        <v>0</v>
      </c>
      <c r="X175" s="373">
        <v>0</v>
      </c>
      <c r="Y175" s="382">
        <v>0</v>
      </c>
    </row>
    <row r="176" spans="1:26" ht="12.9" thickBot="1" x14ac:dyDescent="0.35">
      <c r="A176" s="379" t="s">
        <v>116</v>
      </c>
      <c r="B176" s="374">
        <f t="shared" ref="B176:X176" si="61">(C175+B175)*(C174-B174)/2</f>
        <v>0.20105600000000001</v>
      </c>
      <c r="C176" s="375">
        <f t="shared" si="61"/>
        <v>0.44703150000000003</v>
      </c>
      <c r="D176" s="375">
        <f t="shared" si="61"/>
        <v>0.6292875</v>
      </c>
      <c r="E176" s="375">
        <f t="shared" si="61"/>
        <v>2.7807419999999996</v>
      </c>
      <c r="F176" s="375">
        <f t="shared" si="61"/>
        <v>1.4378640000000005</v>
      </c>
      <c r="G176" s="375">
        <f t="shared" si="61"/>
        <v>3.1025084999999999</v>
      </c>
      <c r="H176" s="375">
        <f t="shared" si="61"/>
        <v>4.1816005000000001</v>
      </c>
      <c r="I176" s="375">
        <f t="shared" si="61"/>
        <v>4.9066644999999989</v>
      </c>
      <c r="J176" s="375">
        <f t="shared" si="61"/>
        <v>3.2366759999999988</v>
      </c>
      <c r="K176" s="375">
        <f t="shared" si="61"/>
        <v>2.187864000000002</v>
      </c>
      <c r="L176" s="375">
        <f t="shared" si="61"/>
        <v>6.0514519999999985</v>
      </c>
      <c r="M176" s="375">
        <f t="shared" si="61"/>
        <v>7.8403640000000001</v>
      </c>
      <c r="N176" s="375">
        <f t="shared" si="61"/>
        <v>8.3054099999999984</v>
      </c>
      <c r="O176" s="375">
        <f t="shared" si="61"/>
        <v>7.9610850000000006</v>
      </c>
      <c r="P176" s="375">
        <f t="shared" si="61"/>
        <v>10.968999000000004</v>
      </c>
      <c r="Q176" s="375">
        <f t="shared" si="61"/>
        <v>1.2217680000000011</v>
      </c>
      <c r="R176" s="375">
        <f t="shared" si="61"/>
        <v>1.7133220000000016</v>
      </c>
      <c r="S176" s="375">
        <f t="shared" si="61"/>
        <v>0.42427200000000043</v>
      </c>
      <c r="T176" s="375">
        <f t="shared" si="61"/>
        <v>0.14129099999999881</v>
      </c>
      <c r="U176" s="375">
        <f t="shared" si="61"/>
        <v>9.8152000000000086E-2</v>
      </c>
      <c r="V176" s="375">
        <f t="shared" si="61"/>
        <v>0.14801900000000015</v>
      </c>
      <c r="W176" s="375">
        <f t="shared" si="61"/>
        <v>0</v>
      </c>
      <c r="X176" s="375">
        <f t="shared" si="61"/>
        <v>0</v>
      </c>
      <c r="Y176" s="369"/>
    </row>
    <row r="177" spans="1:26" ht="12.9" thickBot="1" x14ac:dyDescent="0.35">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row>
    <row r="178" spans="1:26" ht="12.9" thickBot="1" x14ac:dyDescent="0.35">
      <c r="A178" s="361" t="s">
        <v>326</v>
      </c>
      <c r="B178" s="359">
        <f>ROW(A178)</f>
        <v>178</v>
      </c>
      <c r="C178" s="363" t="s">
        <v>115</v>
      </c>
      <c r="D178" s="353">
        <f>SUM(B181:Y181)</f>
        <v>73.557381500000005</v>
      </c>
      <c r="E178" s="363" t="s">
        <v>114</v>
      </c>
      <c r="F178" s="354">
        <f>D178/g/J178</f>
        <v>156.86619302308719</v>
      </c>
      <c r="G178" s="363" t="s">
        <v>56</v>
      </c>
      <c r="H178" s="64">
        <v>0.1022</v>
      </c>
      <c r="I178" s="363" t="s">
        <v>273</v>
      </c>
      <c r="J178" s="355">
        <f>H178-L178</f>
        <v>4.7800000000000002E-2</v>
      </c>
      <c r="K178" s="363" t="s">
        <v>274</v>
      </c>
      <c r="L178" s="64">
        <v>5.4399999999999997E-2</v>
      </c>
      <c r="M178" s="363" t="s">
        <v>57</v>
      </c>
      <c r="N178" s="396">
        <v>66.5</v>
      </c>
      <c r="O178" s="363" t="s">
        <v>59</v>
      </c>
      <c r="P178" s="396">
        <v>66.5</v>
      </c>
      <c r="Q178" s="363" t="s">
        <v>60</v>
      </c>
      <c r="R178" s="65">
        <v>133</v>
      </c>
      <c r="S178" s="363" t="s">
        <v>61</v>
      </c>
      <c r="T178" s="65">
        <v>24</v>
      </c>
      <c r="U178" s="363" t="s">
        <v>54</v>
      </c>
      <c r="V178" s="66" t="s">
        <v>401</v>
      </c>
      <c r="W178" s="463" t="s">
        <v>396</v>
      </c>
      <c r="X178" s="465">
        <v>2.36</v>
      </c>
      <c r="Y178" s="463" t="s">
        <v>395</v>
      </c>
      <c r="Z178" s="358">
        <v>6</v>
      </c>
    </row>
    <row r="179" spans="1:26" x14ac:dyDescent="0.3">
      <c r="A179" s="362" t="s">
        <v>33</v>
      </c>
      <c r="B179" s="370">
        <v>0</v>
      </c>
      <c r="C179" s="371">
        <v>1.4E-2</v>
      </c>
      <c r="D179" s="371">
        <v>5.6000000000000001E-2</v>
      </c>
      <c r="E179" s="371">
        <v>9.1999999999999998E-2</v>
      </c>
      <c r="F179" s="371">
        <v>0.16</v>
      </c>
      <c r="G179" s="371">
        <v>0.23200000000000001</v>
      </c>
      <c r="H179" s="371">
        <v>0.36299999999999999</v>
      </c>
      <c r="I179" s="371">
        <v>0.499</v>
      </c>
      <c r="J179" s="371">
        <v>0.65500000000000003</v>
      </c>
      <c r="K179" s="371">
        <v>0.84299999999999997</v>
      </c>
      <c r="L179" s="371">
        <v>1.216</v>
      </c>
      <c r="M179" s="371">
        <v>1.3680000000000001</v>
      </c>
      <c r="N179" s="371">
        <v>1.54</v>
      </c>
      <c r="O179" s="371">
        <v>1.675</v>
      </c>
      <c r="P179" s="371">
        <v>1.861</v>
      </c>
      <c r="Q179" s="371">
        <v>2.0129999999999999</v>
      </c>
      <c r="R179" s="371">
        <v>2.1589999999999998</v>
      </c>
      <c r="S179" s="371">
        <v>2.302</v>
      </c>
      <c r="T179" s="371">
        <v>2.4620000000000002</v>
      </c>
      <c r="U179" s="371">
        <v>2.5979999999999999</v>
      </c>
      <c r="V179" s="371">
        <v>2.5979999999999999</v>
      </c>
      <c r="W179" s="371">
        <v>2.5979999999999999</v>
      </c>
      <c r="X179" s="371">
        <v>2.5979999999999999</v>
      </c>
      <c r="Y179" s="381">
        <v>1000</v>
      </c>
    </row>
    <row r="180" spans="1:26" x14ac:dyDescent="0.3">
      <c r="A180" s="378" t="s">
        <v>34</v>
      </c>
      <c r="B180" s="372">
        <v>0</v>
      </c>
      <c r="C180" s="376">
        <v>54.222000000000001</v>
      </c>
      <c r="D180" s="376">
        <v>43.456000000000003</v>
      </c>
      <c r="E180" s="376">
        <v>50.185000000000002</v>
      </c>
      <c r="F180" s="376">
        <v>54.063000000000002</v>
      </c>
      <c r="G180" s="376">
        <v>48.363999999999997</v>
      </c>
      <c r="H180" s="376">
        <v>45.752000000000002</v>
      </c>
      <c r="I180" s="376">
        <v>43.14</v>
      </c>
      <c r="J180" s="376">
        <v>40.29</v>
      </c>
      <c r="K180" s="376">
        <v>37.835999999999999</v>
      </c>
      <c r="L180" s="376">
        <v>32.612000000000002</v>
      </c>
      <c r="M180" s="376">
        <v>30.317</v>
      </c>
      <c r="N180" s="376">
        <v>26.359000000000002</v>
      </c>
      <c r="O180" s="376">
        <v>23.509</v>
      </c>
      <c r="P180" s="376">
        <v>19.077000000000002</v>
      </c>
      <c r="Q180" s="376">
        <v>14.565</v>
      </c>
      <c r="R180" s="376">
        <v>10.053000000000001</v>
      </c>
      <c r="S180" s="376">
        <v>4.8280000000000003</v>
      </c>
      <c r="T180" s="376">
        <v>1.504</v>
      </c>
      <c r="U180" s="373">
        <v>0</v>
      </c>
      <c r="V180" s="373">
        <v>0</v>
      </c>
      <c r="W180" s="373">
        <v>0</v>
      </c>
      <c r="X180" s="373">
        <v>0</v>
      </c>
      <c r="Y180" s="382">
        <v>0</v>
      </c>
    </row>
    <row r="181" spans="1:26" ht="12.9" thickBot="1" x14ac:dyDescent="0.35">
      <c r="A181" s="379" t="s">
        <v>116</v>
      </c>
      <c r="B181" s="374">
        <f t="shared" ref="B181:X181" si="62">(C180+B180)*(C179-B179)/2</f>
        <v>0.379554</v>
      </c>
      <c r="C181" s="375">
        <f t="shared" si="62"/>
        <v>2.0512380000000001</v>
      </c>
      <c r="D181" s="375">
        <f t="shared" si="62"/>
        <v>1.685538</v>
      </c>
      <c r="E181" s="375">
        <f t="shared" si="62"/>
        <v>3.5444320000000005</v>
      </c>
      <c r="F181" s="375">
        <f t="shared" si="62"/>
        <v>3.6873720000000003</v>
      </c>
      <c r="G181" s="375">
        <f t="shared" si="62"/>
        <v>6.1645979999999989</v>
      </c>
      <c r="H181" s="375">
        <f t="shared" si="62"/>
        <v>6.0446559999999998</v>
      </c>
      <c r="I181" s="375">
        <f t="shared" si="62"/>
        <v>6.5075400000000014</v>
      </c>
      <c r="J181" s="375">
        <f t="shared" si="62"/>
        <v>7.343843999999998</v>
      </c>
      <c r="K181" s="375">
        <f t="shared" si="62"/>
        <v>13.138552000000001</v>
      </c>
      <c r="L181" s="375">
        <f t="shared" si="62"/>
        <v>4.7826040000000045</v>
      </c>
      <c r="M181" s="375">
        <f t="shared" si="62"/>
        <v>4.8741359999999982</v>
      </c>
      <c r="N181" s="375">
        <f t="shared" si="62"/>
        <v>3.3660900000000002</v>
      </c>
      <c r="O181" s="375">
        <f t="shared" si="62"/>
        <v>3.9604979999999985</v>
      </c>
      <c r="P181" s="375">
        <f t="shared" si="62"/>
        <v>2.5567919999999988</v>
      </c>
      <c r="Q181" s="375">
        <f t="shared" si="62"/>
        <v>1.797113999999999</v>
      </c>
      <c r="R181" s="375">
        <f t="shared" si="62"/>
        <v>1.0639915000000018</v>
      </c>
      <c r="S181" s="375">
        <f t="shared" si="62"/>
        <v>0.50656000000000045</v>
      </c>
      <c r="T181" s="375">
        <f t="shared" si="62"/>
        <v>0.10227199999999975</v>
      </c>
      <c r="U181" s="375">
        <f t="shared" si="62"/>
        <v>0</v>
      </c>
      <c r="V181" s="375">
        <f t="shared" si="62"/>
        <v>0</v>
      </c>
      <c r="W181" s="375">
        <f t="shared" si="62"/>
        <v>0</v>
      </c>
      <c r="X181" s="375">
        <f t="shared" si="62"/>
        <v>0</v>
      </c>
      <c r="Y181" s="369"/>
    </row>
    <row r="182" spans="1:26" ht="12.9" thickBot="1" x14ac:dyDescent="0.35">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row>
    <row r="183" spans="1:26" ht="12.9" thickBot="1" x14ac:dyDescent="0.35">
      <c r="A183" s="361" t="s">
        <v>327</v>
      </c>
      <c r="B183" s="359">
        <f>ROW(A183)</f>
        <v>183</v>
      </c>
      <c r="C183" s="363" t="s">
        <v>115</v>
      </c>
      <c r="D183" s="353">
        <f>SUM(B186:Y186)</f>
        <v>73.169517999999997</v>
      </c>
      <c r="E183" s="363" t="s">
        <v>114</v>
      </c>
      <c r="F183" s="354">
        <f>D183/g/J183</f>
        <v>177.58729673316827</v>
      </c>
      <c r="G183" s="363" t="s">
        <v>56</v>
      </c>
      <c r="H183" s="64">
        <v>9.6000000000000002E-2</v>
      </c>
      <c r="I183" s="363" t="s">
        <v>273</v>
      </c>
      <c r="J183" s="355">
        <f>H183-L183</f>
        <v>4.2000000000000003E-2</v>
      </c>
      <c r="K183" s="363" t="s">
        <v>274</v>
      </c>
      <c r="L183" s="64">
        <v>5.3999999999999999E-2</v>
      </c>
      <c r="M183" s="363" t="s">
        <v>57</v>
      </c>
      <c r="N183" s="396">
        <v>66.5</v>
      </c>
      <c r="O183" s="363" t="s">
        <v>59</v>
      </c>
      <c r="P183" s="396">
        <v>66.5</v>
      </c>
      <c r="Q183" s="363" t="s">
        <v>60</v>
      </c>
      <c r="R183" s="65">
        <v>133</v>
      </c>
      <c r="S183" s="363" t="s">
        <v>61</v>
      </c>
      <c r="T183" s="65">
        <v>24</v>
      </c>
      <c r="U183" s="363" t="s">
        <v>54</v>
      </c>
      <c r="V183" s="66" t="s">
        <v>402</v>
      </c>
      <c r="W183" s="463" t="s">
        <v>396</v>
      </c>
      <c r="X183" s="465">
        <v>0.87</v>
      </c>
      <c r="Y183" s="463" t="s">
        <v>395</v>
      </c>
      <c r="Z183" s="358">
        <v>15</v>
      </c>
    </row>
    <row r="184" spans="1:26" x14ac:dyDescent="0.3">
      <c r="A184" s="362" t="s">
        <v>33</v>
      </c>
      <c r="B184" s="370">
        <v>0</v>
      </c>
      <c r="C184" s="371">
        <v>0.01</v>
      </c>
      <c r="D184" s="371">
        <v>2.3E-2</v>
      </c>
      <c r="E184" s="371">
        <v>0.04</v>
      </c>
      <c r="F184" s="371">
        <v>0.11799999999999999</v>
      </c>
      <c r="G184" s="371">
        <v>0.28299999999999997</v>
      </c>
      <c r="H184" s="371">
        <v>0.51</v>
      </c>
      <c r="I184" s="371">
        <v>0.68799999999999994</v>
      </c>
      <c r="J184" s="371">
        <v>0.78700000000000003</v>
      </c>
      <c r="K184" s="371">
        <v>0.85199999999999998</v>
      </c>
      <c r="L184" s="371">
        <v>0.873</v>
      </c>
      <c r="M184" s="371">
        <v>0.873</v>
      </c>
      <c r="N184" s="371">
        <v>0.873</v>
      </c>
      <c r="O184" s="371">
        <v>0.873</v>
      </c>
      <c r="P184" s="371">
        <v>0.873</v>
      </c>
      <c r="Q184" s="371">
        <v>0.873</v>
      </c>
      <c r="R184" s="371">
        <v>0.873</v>
      </c>
      <c r="S184" s="371">
        <v>0.873</v>
      </c>
      <c r="T184" s="371">
        <v>0.873</v>
      </c>
      <c r="U184" s="371">
        <v>0.873</v>
      </c>
      <c r="V184" s="371">
        <v>0.873</v>
      </c>
      <c r="W184" s="371">
        <v>0.873</v>
      </c>
      <c r="X184" s="371">
        <v>2</v>
      </c>
      <c r="Y184" s="381">
        <v>1000</v>
      </c>
    </row>
    <row r="185" spans="1:26" x14ac:dyDescent="0.3">
      <c r="A185" s="378" t="s">
        <v>34</v>
      </c>
      <c r="B185" s="372">
        <v>0</v>
      </c>
      <c r="C185" s="376">
        <v>76.073999999999998</v>
      </c>
      <c r="D185" s="376">
        <v>100.185</v>
      </c>
      <c r="E185" s="376">
        <v>92.424999999999997</v>
      </c>
      <c r="F185" s="376">
        <v>100.878</v>
      </c>
      <c r="G185" s="376">
        <v>102.402</v>
      </c>
      <c r="H185" s="376">
        <v>96.442999999999998</v>
      </c>
      <c r="I185" s="376">
        <v>87.436000000000007</v>
      </c>
      <c r="J185" s="376">
        <v>25.911999999999999</v>
      </c>
      <c r="K185" s="376">
        <v>7.2060000000000004</v>
      </c>
      <c r="L185" s="373">
        <v>0</v>
      </c>
      <c r="M185" s="373">
        <v>0</v>
      </c>
      <c r="N185" s="373">
        <v>0</v>
      </c>
      <c r="O185" s="373">
        <v>0</v>
      </c>
      <c r="P185" s="373">
        <v>0</v>
      </c>
      <c r="Q185" s="373">
        <v>0</v>
      </c>
      <c r="R185" s="373">
        <v>0</v>
      </c>
      <c r="S185" s="373">
        <v>0</v>
      </c>
      <c r="T185" s="373">
        <v>0</v>
      </c>
      <c r="U185" s="373">
        <v>0</v>
      </c>
      <c r="V185" s="373">
        <v>0</v>
      </c>
      <c r="W185" s="373">
        <v>0</v>
      </c>
      <c r="X185" s="373">
        <v>0</v>
      </c>
      <c r="Y185" s="382">
        <v>0</v>
      </c>
    </row>
    <row r="186" spans="1:26" ht="12.9" thickBot="1" x14ac:dyDescent="0.35">
      <c r="A186" s="379" t="s">
        <v>116</v>
      </c>
      <c r="B186" s="374">
        <f t="shared" ref="B186:X186" si="63">(C185+B185)*(C184-B184)/2</f>
        <v>0.38036999999999999</v>
      </c>
      <c r="C186" s="375">
        <f t="shared" si="63"/>
        <v>1.1456835000000001</v>
      </c>
      <c r="D186" s="375">
        <f t="shared" si="63"/>
        <v>1.6371850000000003</v>
      </c>
      <c r="E186" s="375">
        <f t="shared" si="63"/>
        <v>7.5388169999999981</v>
      </c>
      <c r="F186" s="375">
        <f t="shared" si="63"/>
        <v>16.770599999999998</v>
      </c>
      <c r="G186" s="375">
        <f t="shared" si="63"/>
        <v>22.568907500000002</v>
      </c>
      <c r="H186" s="375">
        <f t="shared" si="63"/>
        <v>16.365230999999994</v>
      </c>
      <c r="I186" s="375">
        <f t="shared" si="63"/>
        <v>5.6107260000000059</v>
      </c>
      <c r="J186" s="375">
        <f t="shared" si="63"/>
        <v>1.0763349999999992</v>
      </c>
      <c r="K186" s="375">
        <f t="shared" si="63"/>
        <v>7.5663000000000077E-2</v>
      </c>
      <c r="L186" s="375">
        <f t="shared" si="63"/>
        <v>0</v>
      </c>
      <c r="M186" s="375">
        <f t="shared" si="63"/>
        <v>0</v>
      </c>
      <c r="N186" s="375">
        <f t="shared" si="63"/>
        <v>0</v>
      </c>
      <c r="O186" s="375">
        <f t="shared" si="63"/>
        <v>0</v>
      </c>
      <c r="P186" s="375">
        <f t="shared" si="63"/>
        <v>0</v>
      </c>
      <c r="Q186" s="375">
        <f t="shared" si="63"/>
        <v>0</v>
      </c>
      <c r="R186" s="375">
        <f t="shared" si="63"/>
        <v>0</v>
      </c>
      <c r="S186" s="375">
        <f t="shared" si="63"/>
        <v>0</v>
      </c>
      <c r="T186" s="375">
        <f t="shared" si="63"/>
        <v>0</v>
      </c>
      <c r="U186" s="375">
        <f t="shared" si="63"/>
        <v>0</v>
      </c>
      <c r="V186" s="375">
        <f t="shared" si="63"/>
        <v>0</v>
      </c>
      <c r="W186" s="375">
        <f t="shared" si="63"/>
        <v>0</v>
      </c>
      <c r="X186" s="375">
        <f t="shared" si="63"/>
        <v>0</v>
      </c>
      <c r="Y186" s="369"/>
    </row>
    <row r="187" spans="1:26" ht="12.9" thickBot="1" x14ac:dyDescent="0.35">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row>
    <row r="188" spans="1:26" ht="12.9" thickBot="1" x14ac:dyDescent="0.35">
      <c r="A188" s="361" t="s">
        <v>328</v>
      </c>
      <c r="B188" s="359">
        <f>ROW(A188)</f>
        <v>188</v>
      </c>
      <c r="C188" s="363" t="s">
        <v>115</v>
      </c>
      <c r="D188" s="353">
        <f>SUM(B191:Y191)</f>
        <v>75.254384000000016</v>
      </c>
      <c r="E188" s="363" t="s">
        <v>114</v>
      </c>
      <c r="F188" s="354">
        <f>D188/g/J188</f>
        <v>232.46033422914161</v>
      </c>
      <c r="G188" s="363" t="s">
        <v>56</v>
      </c>
      <c r="H188" s="64">
        <v>9.5000000000000001E-2</v>
      </c>
      <c r="I188" s="363" t="s">
        <v>273</v>
      </c>
      <c r="J188" s="355">
        <f>H188-L188</f>
        <v>3.3000000000000002E-2</v>
      </c>
      <c r="K188" s="363" t="s">
        <v>274</v>
      </c>
      <c r="L188" s="64">
        <f>0.095-0.033</f>
        <v>6.2E-2</v>
      </c>
      <c r="M188" s="363" t="s">
        <v>57</v>
      </c>
      <c r="N188" s="396">
        <v>66.5</v>
      </c>
      <c r="O188" s="363" t="s">
        <v>59</v>
      </c>
      <c r="P188" s="396">
        <v>66.5</v>
      </c>
      <c r="Q188" s="363" t="s">
        <v>60</v>
      </c>
      <c r="R188" s="65">
        <v>133</v>
      </c>
      <c r="S188" s="363" t="s">
        <v>61</v>
      </c>
      <c r="T188" s="65">
        <v>24</v>
      </c>
      <c r="U188" s="363" t="s">
        <v>54</v>
      </c>
      <c r="V188" s="66" t="s">
        <v>402</v>
      </c>
      <c r="W188" s="463" t="s">
        <v>396</v>
      </c>
      <c r="X188" s="465">
        <v>1.5</v>
      </c>
      <c r="Y188" s="463" t="s">
        <v>395</v>
      </c>
      <c r="Z188" s="358">
        <v>12</v>
      </c>
    </row>
    <row r="189" spans="1:26" x14ac:dyDescent="0.3">
      <c r="A189" s="362" t="s">
        <v>33</v>
      </c>
      <c r="B189" s="370">
        <v>0</v>
      </c>
      <c r="C189" s="371">
        <v>0.02</v>
      </c>
      <c r="D189" s="371">
        <v>3.1E-2</v>
      </c>
      <c r="E189" s="371">
        <v>6.2E-2</v>
      </c>
      <c r="F189" s="371">
        <v>0.11700000000000001</v>
      </c>
      <c r="G189" s="371">
        <v>1.2110000000000001</v>
      </c>
      <c r="H189" s="371">
        <v>1.3759999999999999</v>
      </c>
      <c r="I189" s="371">
        <v>1.456</v>
      </c>
      <c r="J189" s="371">
        <v>1.532</v>
      </c>
      <c r="K189" s="371">
        <v>1.577</v>
      </c>
      <c r="L189" s="371">
        <v>2</v>
      </c>
      <c r="M189" s="371">
        <v>2</v>
      </c>
      <c r="N189" s="371">
        <v>2</v>
      </c>
      <c r="O189" s="371">
        <v>2</v>
      </c>
      <c r="P189" s="371">
        <v>2</v>
      </c>
      <c r="Q189" s="371">
        <v>2</v>
      </c>
      <c r="R189" s="371">
        <v>2</v>
      </c>
      <c r="S189" s="371">
        <v>2</v>
      </c>
      <c r="T189" s="371">
        <v>2</v>
      </c>
      <c r="U189" s="371">
        <v>2</v>
      </c>
      <c r="V189" s="371">
        <v>2</v>
      </c>
      <c r="W189" s="371">
        <v>2</v>
      </c>
      <c r="X189" s="371">
        <f t="shared" ref="T189:X190" si="64">W189</f>
        <v>2</v>
      </c>
      <c r="Y189" s="381">
        <v>1000</v>
      </c>
    </row>
    <row r="190" spans="1:26" x14ac:dyDescent="0.3">
      <c r="A190" s="378" t="s">
        <v>34</v>
      </c>
      <c r="B190" s="372">
        <v>0</v>
      </c>
      <c r="C190" s="373">
        <v>75.924000000000007</v>
      </c>
      <c r="D190" s="373">
        <v>84.147999999999996</v>
      </c>
      <c r="E190" s="373">
        <v>70.441000000000003</v>
      </c>
      <c r="F190" s="373">
        <v>73.659000000000006</v>
      </c>
      <c r="G190" s="373">
        <v>38.737000000000002</v>
      </c>
      <c r="H190" s="373">
        <v>14.779</v>
      </c>
      <c r="I190" s="373">
        <v>7.2709999999999999</v>
      </c>
      <c r="J190" s="373">
        <v>3.3370000000000002</v>
      </c>
      <c r="K190" s="373">
        <v>0</v>
      </c>
      <c r="L190" s="373">
        <v>0</v>
      </c>
      <c r="M190" s="373">
        <v>0</v>
      </c>
      <c r="N190" s="373">
        <v>0</v>
      </c>
      <c r="O190" s="373">
        <v>0</v>
      </c>
      <c r="P190" s="373">
        <v>0</v>
      </c>
      <c r="Q190" s="373">
        <v>0</v>
      </c>
      <c r="R190" s="373">
        <v>0</v>
      </c>
      <c r="S190" s="373">
        <v>0</v>
      </c>
      <c r="T190" s="373">
        <f t="shared" si="64"/>
        <v>0</v>
      </c>
      <c r="U190" s="373">
        <f t="shared" si="64"/>
        <v>0</v>
      </c>
      <c r="V190" s="373">
        <f t="shared" si="64"/>
        <v>0</v>
      </c>
      <c r="W190" s="373">
        <f t="shared" si="64"/>
        <v>0</v>
      </c>
      <c r="X190" s="373">
        <f t="shared" si="64"/>
        <v>0</v>
      </c>
      <c r="Y190" s="382">
        <v>0</v>
      </c>
    </row>
    <row r="191" spans="1:26" ht="12.9" thickBot="1" x14ac:dyDescent="0.35">
      <c r="A191" s="379" t="s">
        <v>116</v>
      </c>
      <c r="B191" s="374">
        <f t="shared" ref="B191:V191" si="65">(C190+B190)*(C189-B189)/2</f>
        <v>0.75924000000000014</v>
      </c>
      <c r="C191" s="375">
        <f t="shared" si="65"/>
        <v>0.88039599999999996</v>
      </c>
      <c r="D191" s="375">
        <f t="shared" si="65"/>
        <v>2.3961294999999998</v>
      </c>
      <c r="E191" s="375">
        <f t="shared" si="65"/>
        <v>3.9627500000000011</v>
      </c>
      <c r="F191" s="375">
        <f t="shared" si="65"/>
        <v>61.480612000000015</v>
      </c>
      <c r="G191" s="375">
        <f t="shared" si="65"/>
        <v>4.4150699999999956</v>
      </c>
      <c r="H191" s="375">
        <f t="shared" si="65"/>
        <v>0.88200000000000078</v>
      </c>
      <c r="I191" s="375">
        <f t="shared" si="65"/>
        <v>0.40310400000000035</v>
      </c>
      <c r="J191" s="375">
        <f>(K190+J190)*(K189-J189)/2</f>
        <v>7.5082499999999885E-2</v>
      </c>
      <c r="K191" s="375">
        <f t="shared" si="65"/>
        <v>0</v>
      </c>
      <c r="L191" s="375">
        <f t="shared" si="65"/>
        <v>0</v>
      </c>
      <c r="M191" s="375">
        <f t="shared" si="65"/>
        <v>0</v>
      </c>
      <c r="N191" s="375">
        <f t="shared" si="65"/>
        <v>0</v>
      </c>
      <c r="O191" s="375">
        <f t="shared" si="65"/>
        <v>0</v>
      </c>
      <c r="P191" s="375">
        <f t="shared" si="65"/>
        <v>0</v>
      </c>
      <c r="Q191" s="375">
        <f t="shared" si="65"/>
        <v>0</v>
      </c>
      <c r="R191" s="375">
        <f t="shared" si="65"/>
        <v>0</v>
      </c>
      <c r="S191" s="375">
        <f>(T190+S190)*(T189-S189)/2</f>
        <v>0</v>
      </c>
      <c r="T191" s="375">
        <f t="shared" si="65"/>
        <v>0</v>
      </c>
      <c r="U191" s="375">
        <f t="shared" si="65"/>
        <v>0</v>
      </c>
      <c r="V191" s="375">
        <f t="shared" si="65"/>
        <v>0</v>
      </c>
      <c r="W191" s="375">
        <f>(X190+W190)*(X189-W189)/2</f>
        <v>0</v>
      </c>
      <c r="X191" s="375">
        <f>(Y190+X190)*(Y189-X189)/2</f>
        <v>0</v>
      </c>
      <c r="Y191" s="369"/>
    </row>
    <row r="192" spans="1:26" ht="12.9" thickBot="1" x14ac:dyDescent="0.35">
      <c r="A192" s="6" t="s">
        <v>375</v>
      </c>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row>
    <row r="193" spans="1:26" ht="12.9" thickBot="1" x14ac:dyDescent="0.35">
      <c r="A193" s="361" t="s">
        <v>538</v>
      </c>
      <c r="B193" s="359">
        <f>ROW(A193)</f>
        <v>193</v>
      </c>
      <c r="C193" s="363" t="s">
        <v>115</v>
      </c>
      <c r="D193" s="353">
        <f>SUM(B196:Y196)</f>
        <v>141.04999999999998</v>
      </c>
      <c r="E193" s="363" t="s">
        <v>114</v>
      </c>
      <c r="F193" s="354">
        <f>D193/g/J193</f>
        <v>186.24592648930721</v>
      </c>
      <c r="G193" s="363" t="s">
        <v>56</v>
      </c>
      <c r="H193" s="64">
        <v>0.16189999999999999</v>
      </c>
      <c r="I193" s="363" t="s">
        <v>273</v>
      </c>
      <c r="J193" s="355">
        <f>H193-L193</f>
        <v>7.7199999999999991E-2</v>
      </c>
      <c r="K193" s="363" t="s">
        <v>274</v>
      </c>
      <c r="L193" s="64">
        <v>8.4699999999999998E-2</v>
      </c>
      <c r="M193" s="363" t="s">
        <v>57</v>
      </c>
      <c r="N193" s="65">
        <v>114</v>
      </c>
      <c r="O193" s="363" t="s">
        <v>59</v>
      </c>
      <c r="P193" s="65">
        <v>114</v>
      </c>
      <c r="Q193" s="363" t="s">
        <v>60</v>
      </c>
      <c r="R193" s="65">
        <v>228</v>
      </c>
      <c r="S193" s="363" t="s">
        <v>61</v>
      </c>
      <c r="T193" s="65">
        <v>24</v>
      </c>
      <c r="U193" s="363" t="s">
        <v>54</v>
      </c>
      <c r="V193" s="66" t="s">
        <v>119</v>
      </c>
      <c r="W193" s="463" t="s">
        <v>396</v>
      </c>
      <c r="X193" s="465">
        <v>0.96</v>
      </c>
      <c r="Y193" s="463" t="s">
        <v>395</v>
      </c>
      <c r="Z193" s="358">
        <v>15</v>
      </c>
    </row>
    <row r="194" spans="1:26" x14ac:dyDescent="0.3">
      <c r="A194" s="362" t="s">
        <v>33</v>
      </c>
      <c r="B194" s="370">
        <v>0</v>
      </c>
      <c r="C194" s="371">
        <v>0.02</v>
      </c>
      <c r="D194" s="371">
        <v>0.03</v>
      </c>
      <c r="E194" s="371">
        <v>0.05</v>
      </c>
      <c r="F194" s="371">
        <v>0.6</v>
      </c>
      <c r="G194" s="371">
        <v>0.67</v>
      </c>
      <c r="H194" s="371">
        <v>0.7</v>
      </c>
      <c r="I194" s="371">
        <v>0.8</v>
      </c>
      <c r="J194" s="371">
        <v>0.9</v>
      </c>
      <c r="K194" s="371">
        <v>1.05</v>
      </c>
      <c r="L194" s="371">
        <f t="shared" ref="L194:W194" si="66">K194</f>
        <v>1.05</v>
      </c>
      <c r="M194" s="371">
        <f t="shared" si="66"/>
        <v>1.05</v>
      </c>
      <c r="N194" s="371">
        <f t="shared" si="66"/>
        <v>1.05</v>
      </c>
      <c r="O194" s="371">
        <f t="shared" si="66"/>
        <v>1.05</v>
      </c>
      <c r="P194" s="371">
        <f t="shared" si="66"/>
        <v>1.05</v>
      </c>
      <c r="Q194" s="371">
        <f t="shared" si="66"/>
        <v>1.05</v>
      </c>
      <c r="R194" s="371">
        <f t="shared" si="66"/>
        <v>1.05</v>
      </c>
      <c r="S194" s="371">
        <f t="shared" si="66"/>
        <v>1.05</v>
      </c>
      <c r="T194" s="371">
        <f t="shared" si="66"/>
        <v>1.05</v>
      </c>
      <c r="U194" s="371">
        <f t="shared" si="66"/>
        <v>1.05</v>
      </c>
      <c r="V194" s="371">
        <f t="shared" si="66"/>
        <v>1.05</v>
      </c>
      <c r="W194" s="371">
        <f t="shared" si="66"/>
        <v>1.05</v>
      </c>
      <c r="X194" s="371">
        <v>2</v>
      </c>
      <c r="Y194" s="381">
        <v>1000</v>
      </c>
    </row>
    <row r="195" spans="1:26" x14ac:dyDescent="0.3">
      <c r="A195" s="378" t="s">
        <v>34</v>
      </c>
      <c r="B195" s="372">
        <v>0</v>
      </c>
      <c r="C195" s="373">
        <v>350</v>
      </c>
      <c r="D195" s="373">
        <v>250</v>
      </c>
      <c r="E195" s="373">
        <v>210</v>
      </c>
      <c r="F195" s="373">
        <v>150</v>
      </c>
      <c r="G195" s="373">
        <v>140</v>
      </c>
      <c r="H195" s="373">
        <v>130</v>
      </c>
      <c r="I195" s="373">
        <v>65</v>
      </c>
      <c r="J195" s="373">
        <v>30</v>
      </c>
      <c r="K195" s="373">
        <v>0</v>
      </c>
      <c r="L195" s="373">
        <v>0</v>
      </c>
      <c r="M195" s="373">
        <v>0</v>
      </c>
      <c r="N195" s="373">
        <v>0</v>
      </c>
      <c r="O195" s="373">
        <v>0</v>
      </c>
      <c r="P195" s="373">
        <v>0</v>
      </c>
      <c r="Q195" s="373">
        <v>0</v>
      </c>
      <c r="R195" s="373">
        <v>0</v>
      </c>
      <c r="S195" s="373">
        <f t="shared" ref="S195:X195" si="67">R195</f>
        <v>0</v>
      </c>
      <c r="T195" s="373">
        <f t="shared" si="67"/>
        <v>0</v>
      </c>
      <c r="U195" s="373">
        <f t="shared" si="67"/>
        <v>0</v>
      </c>
      <c r="V195" s="373">
        <f t="shared" si="67"/>
        <v>0</v>
      </c>
      <c r="W195" s="373">
        <f t="shared" si="67"/>
        <v>0</v>
      </c>
      <c r="X195" s="373">
        <f t="shared" si="67"/>
        <v>0</v>
      </c>
      <c r="Y195" s="382">
        <v>0</v>
      </c>
    </row>
    <row r="196" spans="1:26" ht="12.9" thickBot="1" x14ac:dyDescent="0.35">
      <c r="A196" s="379" t="s">
        <v>116</v>
      </c>
      <c r="B196" s="374">
        <f t="shared" ref="B196:X196" si="68">(C195+B195)*(C194-B194)/2</f>
        <v>3.5</v>
      </c>
      <c r="C196" s="375">
        <f t="shared" si="68"/>
        <v>2.9999999999999996</v>
      </c>
      <c r="D196" s="375">
        <f t="shared" si="68"/>
        <v>4.6000000000000005</v>
      </c>
      <c r="E196" s="375">
        <f t="shared" si="68"/>
        <v>98.999999999999986</v>
      </c>
      <c r="F196" s="375">
        <f t="shared" si="68"/>
        <v>10.150000000000009</v>
      </c>
      <c r="G196" s="375">
        <f t="shared" si="68"/>
        <v>4.0499999999999883</v>
      </c>
      <c r="H196" s="375">
        <f t="shared" si="68"/>
        <v>9.7500000000000089</v>
      </c>
      <c r="I196" s="375">
        <f t="shared" si="68"/>
        <v>4.7499999999999991</v>
      </c>
      <c r="J196" s="375">
        <f t="shared" si="68"/>
        <v>2.2500000000000004</v>
      </c>
      <c r="K196" s="375">
        <f t="shared" si="68"/>
        <v>0</v>
      </c>
      <c r="L196" s="375">
        <f t="shared" si="68"/>
        <v>0</v>
      </c>
      <c r="M196" s="375">
        <f t="shared" si="68"/>
        <v>0</v>
      </c>
      <c r="N196" s="375">
        <f t="shared" si="68"/>
        <v>0</v>
      </c>
      <c r="O196" s="375">
        <f t="shared" si="68"/>
        <v>0</v>
      </c>
      <c r="P196" s="375">
        <f t="shared" si="68"/>
        <v>0</v>
      </c>
      <c r="Q196" s="375">
        <f t="shared" si="68"/>
        <v>0</v>
      </c>
      <c r="R196" s="375">
        <f t="shared" si="68"/>
        <v>0</v>
      </c>
      <c r="S196" s="375">
        <f t="shared" si="68"/>
        <v>0</v>
      </c>
      <c r="T196" s="375">
        <f t="shared" si="68"/>
        <v>0</v>
      </c>
      <c r="U196" s="375">
        <f t="shared" si="68"/>
        <v>0</v>
      </c>
      <c r="V196" s="375">
        <f t="shared" si="68"/>
        <v>0</v>
      </c>
      <c r="W196" s="375">
        <f t="shared" si="68"/>
        <v>0</v>
      </c>
      <c r="X196" s="375">
        <f t="shared" si="68"/>
        <v>0</v>
      </c>
      <c r="Y196" s="369"/>
    </row>
    <row r="197" spans="1:26" ht="12.9" thickBot="1" x14ac:dyDescent="0.35">
      <c r="A197" s="12" t="s">
        <v>548</v>
      </c>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row>
    <row r="198" spans="1:26" ht="12.9" thickBot="1" x14ac:dyDescent="0.35">
      <c r="A198" s="361" t="s">
        <v>553</v>
      </c>
      <c r="B198" s="359">
        <f>ROW(A198)</f>
        <v>198</v>
      </c>
      <c r="C198" s="363" t="s">
        <v>115</v>
      </c>
      <c r="D198" s="353">
        <f>SUM(B201:Y201)</f>
        <v>142.44</v>
      </c>
      <c r="E198" s="363" t="s">
        <v>114</v>
      </c>
      <c r="F198" s="354">
        <f>D198/g/J198</f>
        <v>192.06187401906058</v>
      </c>
      <c r="G198" s="363" t="s">
        <v>56</v>
      </c>
      <c r="H198" s="64">
        <v>0.15989999999999999</v>
      </c>
      <c r="I198" s="363" t="s">
        <v>273</v>
      </c>
      <c r="J198" s="355">
        <f>H198-L198</f>
        <v>7.5599999999999987E-2</v>
      </c>
      <c r="K198" s="363" t="s">
        <v>274</v>
      </c>
      <c r="L198" s="64">
        <v>8.43E-2</v>
      </c>
      <c r="M198" s="363" t="s">
        <v>57</v>
      </c>
      <c r="N198" s="65">
        <v>114</v>
      </c>
      <c r="O198" s="363" t="s">
        <v>59</v>
      </c>
      <c r="P198" s="65">
        <v>114</v>
      </c>
      <c r="Q198" s="363" t="s">
        <v>60</v>
      </c>
      <c r="R198" s="65">
        <v>228</v>
      </c>
      <c r="S198" s="363" t="s">
        <v>61</v>
      </c>
      <c r="T198" s="65">
        <v>24</v>
      </c>
      <c r="U198" s="363" t="s">
        <v>54</v>
      </c>
      <c r="V198" s="66" t="s">
        <v>403</v>
      </c>
      <c r="W198" s="463" t="s">
        <v>396</v>
      </c>
      <c r="X198" s="465">
        <v>0.97</v>
      </c>
      <c r="Y198" s="463" t="s">
        <v>395</v>
      </c>
      <c r="Z198" s="358">
        <v>13</v>
      </c>
    </row>
    <row r="199" spans="1:26" x14ac:dyDescent="0.3">
      <c r="A199" s="362" t="s">
        <v>33</v>
      </c>
      <c r="B199" s="370">
        <v>0</v>
      </c>
      <c r="C199" s="371">
        <v>0.02</v>
      </c>
      <c r="D199" s="371">
        <v>0.04</v>
      </c>
      <c r="E199" s="371">
        <v>0.62</v>
      </c>
      <c r="F199" s="371">
        <v>0.66</v>
      </c>
      <c r="G199" s="371">
        <v>0.68</v>
      </c>
      <c r="H199" s="371">
        <v>0.8</v>
      </c>
      <c r="I199" s="371">
        <v>0.84</v>
      </c>
      <c r="J199" s="371">
        <v>0.88</v>
      </c>
      <c r="K199" s="371">
        <v>0.92</v>
      </c>
      <c r="L199" s="371">
        <v>0.96</v>
      </c>
      <c r="M199" s="371">
        <v>1</v>
      </c>
      <c r="N199" s="371">
        <v>1.08</v>
      </c>
      <c r="O199" s="371">
        <v>2</v>
      </c>
      <c r="P199" s="371">
        <v>2</v>
      </c>
      <c r="Q199" s="371">
        <v>2</v>
      </c>
      <c r="R199" s="371">
        <v>2</v>
      </c>
      <c r="S199" s="371">
        <f t="shared" ref="S199:X200" si="69">R199</f>
        <v>2</v>
      </c>
      <c r="T199" s="371">
        <f t="shared" si="69"/>
        <v>2</v>
      </c>
      <c r="U199" s="371">
        <f t="shared" si="69"/>
        <v>2</v>
      </c>
      <c r="V199" s="371">
        <f t="shared" si="69"/>
        <v>2</v>
      </c>
      <c r="W199" s="371">
        <f t="shared" si="69"/>
        <v>2</v>
      </c>
      <c r="X199" s="371">
        <f t="shared" si="69"/>
        <v>2</v>
      </c>
      <c r="Y199" s="381">
        <v>1000</v>
      </c>
    </row>
    <row r="200" spans="1:26" x14ac:dyDescent="0.3">
      <c r="A200" s="378" t="s">
        <v>34</v>
      </c>
      <c r="B200" s="372">
        <v>0</v>
      </c>
      <c r="C200" s="373">
        <v>250</v>
      </c>
      <c r="D200" s="373">
        <v>210</v>
      </c>
      <c r="E200" s="373">
        <v>160</v>
      </c>
      <c r="F200" s="373">
        <v>150</v>
      </c>
      <c r="G200" s="373">
        <v>142</v>
      </c>
      <c r="H200" s="373">
        <v>62</v>
      </c>
      <c r="I200" s="373">
        <v>48</v>
      </c>
      <c r="J200" s="373">
        <v>34</v>
      </c>
      <c r="K200" s="373">
        <v>24</v>
      </c>
      <c r="L200" s="373">
        <v>15</v>
      </c>
      <c r="M200" s="373">
        <v>10</v>
      </c>
      <c r="N200" s="373">
        <v>0</v>
      </c>
      <c r="O200" s="373">
        <v>0</v>
      </c>
      <c r="P200" s="373">
        <v>0</v>
      </c>
      <c r="Q200" s="373">
        <v>0</v>
      </c>
      <c r="R200" s="373">
        <v>0</v>
      </c>
      <c r="S200" s="373">
        <f t="shared" si="69"/>
        <v>0</v>
      </c>
      <c r="T200" s="373">
        <f t="shared" si="69"/>
        <v>0</v>
      </c>
      <c r="U200" s="373">
        <f t="shared" si="69"/>
        <v>0</v>
      </c>
      <c r="V200" s="373">
        <f t="shared" si="69"/>
        <v>0</v>
      </c>
      <c r="W200" s="373">
        <f t="shared" si="69"/>
        <v>0</v>
      </c>
      <c r="X200" s="373">
        <f t="shared" si="69"/>
        <v>0</v>
      </c>
      <c r="Y200" s="382">
        <v>0</v>
      </c>
    </row>
    <row r="201" spans="1:26" ht="12.9" thickBot="1" x14ac:dyDescent="0.35">
      <c r="A201" s="379" t="s">
        <v>116</v>
      </c>
      <c r="B201" s="374">
        <f t="shared" ref="B201:X201" si="70">(C200+B200)*(C199-B199)/2</f>
        <v>2.5</v>
      </c>
      <c r="C201" s="375">
        <f t="shared" si="70"/>
        <v>4.6000000000000005</v>
      </c>
      <c r="D201" s="375">
        <f t="shared" si="70"/>
        <v>107.3</v>
      </c>
      <c r="E201" s="375">
        <f t="shared" si="70"/>
        <v>6.2000000000000055</v>
      </c>
      <c r="F201" s="375">
        <f t="shared" si="70"/>
        <v>2.9200000000000026</v>
      </c>
      <c r="G201" s="375">
        <f t="shared" si="70"/>
        <v>12.24</v>
      </c>
      <c r="H201" s="375">
        <f t="shared" si="70"/>
        <v>2.1999999999999957</v>
      </c>
      <c r="I201" s="375">
        <f t="shared" si="70"/>
        <v>1.6400000000000015</v>
      </c>
      <c r="J201" s="375">
        <f t="shared" si="70"/>
        <v>1.160000000000001</v>
      </c>
      <c r="K201" s="375">
        <f t="shared" si="70"/>
        <v>0.77999999999999847</v>
      </c>
      <c r="L201" s="375">
        <f t="shared" si="70"/>
        <v>0.50000000000000044</v>
      </c>
      <c r="M201" s="375">
        <f t="shared" si="70"/>
        <v>0.40000000000000036</v>
      </c>
      <c r="N201" s="375">
        <f t="shared" si="70"/>
        <v>0</v>
      </c>
      <c r="O201" s="375">
        <f t="shared" si="70"/>
        <v>0</v>
      </c>
      <c r="P201" s="375">
        <f t="shared" si="70"/>
        <v>0</v>
      </c>
      <c r="Q201" s="375">
        <f t="shared" si="70"/>
        <v>0</v>
      </c>
      <c r="R201" s="375">
        <f t="shared" si="70"/>
        <v>0</v>
      </c>
      <c r="S201" s="375">
        <f t="shared" si="70"/>
        <v>0</v>
      </c>
      <c r="T201" s="375">
        <f t="shared" si="70"/>
        <v>0</v>
      </c>
      <c r="U201" s="375">
        <f t="shared" si="70"/>
        <v>0</v>
      </c>
      <c r="V201" s="375">
        <f t="shared" si="70"/>
        <v>0</v>
      </c>
      <c r="W201" s="375">
        <f t="shared" si="70"/>
        <v>0</v>
      </c>
      <c r="X201" s="375">
        <f t="shared" si="70"/>
        <v>0</v>
      </c>
      <c r="Y201" s="369"/>
    </row>
    <row r="202" spans="1:26" ht="12.9" thickBot="1" x14ac:dyDescent="0.35">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row>
    <row r="203" spans="1:26" ht="12.9" thickBot="1" x14ac:dyDescent="0.35">
      <c r="A203" s="361" t="s">
        <v>540</v>
      </c>
      <c r="B203" s="359">
        <f>ROW(A203)</f>
        <v>203</v>
      </c>
      <c r="C203" s="363" t="s">
        <v>115</v>
      </c>
      <c r="D203" s="353">
        <f>SUM(B206:Y206)</f>
        <v>143.08845000000002</v>
      </c>
      <c r="E203" s="363" t="s">
        <v>114</v>
      </c>
      <c r="F203" s="354">
        <f>D203/g/J203</f>
        <v>168.23504721190514</v>
      </c>
      <c r="G203" s="363" t="s">
        <v>56</v>
      </c>
      <c r="H203" s="64">
        <v>0.17249999999999999</v>
      </c>
      <c r="I203" s="363" t="s">
        <v>273</v>
      </c>
      <c r="J203" s="355">
        <f>H203-L203</f>
        <v>8.6699999999999985E-2</v>
      </c>
      <c r="K203" s="363" t="s">
        <v>274</v>
      </c>
      <c r="L203" s="64">
        <v>8.5800000000000001E-2</v>
      </c>
      <c r="M203" s="363" t="s">
        <v>57</v>
      </c>
      <c r="N203" s="65">
        <v>114</v>
      </c>
      <c r="O203" s="363" t="s">
        <v>59</v>
      </c>
      <c r="P203" s="65">
        <v>114</v>
      </c>
      <c r="Q203" s="363" t="s">
        <v>60</v>
      </c>
      <c r="R203" s="65">
        <v>228</v>
      </c>
      <c r="S203" s="363" t="s">
        <v>61</v>
      </c>
      <c r="T203" s="65">
        <v>24</v>
      </c>
      <c r="U203" s="363" t="s">
        <v>54</v>
      </c>
      <c r="V203" s="66" t="s">
        <v>119</v>
      </c>
      <c r="W203" s="463" t="s">
        <v>396</v>
      </c>
      <c r="X203" s="465">
        <v>0.97</v>
      </c>
      <c r="Y203" s="463" t="s">
        <v>395</v>
      </c>
      <c r="Z203" s="358">
        <v>11</v>
      </c>
    </row>
    <row r="204" spans="1:26" x14ac:dyDescent="0.3">
      <c r="A204" s="362" t="s">
        <v>33</v>
      </c>
      <c r="B204" s="370">
        <v>0</v>
      </c>
      <c r="C204" s="371">
        <v>8.0000000000000002E-3</v>
      </c>
      <c r="D204" s="371">
        <v>1.2999999999999999E-2</v>
      </c>
      <c r="E204" s="371">
        <v>2.1999999999999999E-2</v>
      </c>
      <c r="F204" s="371">
        <v>3.5000000000000003E-2</v>
      </c>
      <c r="G204" s="371">
        <v>6.3E-2</v>
      </c>
      <c r="H204" s="371">
        <v>0.10299999999999999</v>
      </c>
      <c r="I204" s="371">
        <v>0.19600000000000001</v>
      </c>
      <c r="J204" s="371">
        <v>0.311</v>
      </c>
      <c r="K204" s="371">
        <v>0.47399999999999998</v>
      </c>
      <c r="L204" s="371">
        <v>0.56399999999999995</v>
      </c>
      <c r="M204" s="371">
        <v>0.76200000000000001</v>
      </c>
      <c r="N204" s="371">
        <v>0.85799999999999998</v>
      </c>
      <c r="O204" s="371">
        <v>0.92800000000000005</v>
      </c>
      <c r="P204" s="371">
        <v>1.038</v>
      </c>
      <c r="Q204" s="371">
        <v>1.08</v>
      </c>
      <c r="R204" s="371">
        <v>1.131</v>
      </c>
      <c r="S204" s="371">
        <v>1.1850000000000001</v>
      </c>
      <c r="T204" s="371">
        <v>1.224</v>
      </c>
      <c r="U204" s="371">
        <v>1.258</v>
      </c>
      <c r="V204" s="371">
        <v>1.4</v>
      </c>
      <c r="W204" s="371">
        <v>1.4410000000000001</v>
      </c>
      <c r="X204" s="371">
        <v>2</v>
      </c>
      <c r="Y204" s="381">
        <v>1000</v>
      </c>
    </row>
    <row r="205" spans="1:26" x14ac:dyDescent="0.3">
      <c r="A205" s="378" t="s">
        <v>34</v>
      </c>
      <c r="B205" s="372">
        <v>0</v>
      </c>
      <c r="C205" s="373">
        <v>168.643</v>
      </c>
      <c r="D205" s="373">
        <v>177.339</v>
      </c>
      <c r="E205" s="373">
        <v>177.86600000000001</v>
      </c>
      <c r="F205" s="373">
        <v>171.27799999999999</v>
      </c>
      <c r="G205" s="373">
        <v>157.839</v>
      </c>
      <c r="H205" s="373">
        <v>154.941</v>
      </c>
      <c r="I205" s="373">
        <v>148.88</v>
      </c>
      <c r="J205" s="373">
        <v>144.137</v>
      </c>
      <c r="K205" s="373">
        <v>138.07599999999999</v>
      </c>
      <c r="L205" s="373">
        <v>135.70500000000001</v>
      </c>
      <c r="M205" s="373">
        <v>125.955</v>
      </c>
      <c r="N205" s="373">
        <v>116.733</v>
      </c>
      <c r="O205" s="373">
        <v>101.71299999999999</v>
      </c>
      <c r="P205" s="373">
        <v>57.444000000000003</v>
      </c>
      <c r="Q205" s="373">
        <v>42.688000000000002</v>
      </c>
      <c r="R205" s="373">
        <v>31.884</v>
      </c>
      <c r="S205" s="373">
        <v>17.655000000000001</v>
      </c>
      <c r="T205" s="373">
        <v>9.4860000000000007</v>
      </c>
      <c r="U205" s="373">
        <v>5.27</v>
      </c>
      <c r="V205" s="373">
        <v>0.79100000000000004</v>
      </c>
      <c r="W205" s="373">
        <v>0</v>
      </c>
      <c r="X205" s="373">
        <f>W205</f>
        <v>0</v>
      </c>
      <c r="Y205" s="382">
        <v>0</v>
      </c>
    </row>
    <row r="206" spans="1:26" ht="12.9" thickBot="1" x14ac:dyDescent="0.35">
      <c r="A206" s="379" t="s">
        <v>116</v>
      </c>
      <c r="B206" s="374">
        <f t="shared" ref="B206:X206" si="71">(C205+B205)*(C204-B204)/2</f>
        <v>0.67457200000000006</v>
      </c>
      <c r="C206" s="375">
        <f t="shared" si="71"/>
        <v>0.86495499999999981</v>
      </c>
      <c r="D206" s="375">
        <f t="shared" si="71"/>
        <v>1.5984225000000001</v>
      </c>
      <c r="E206" s="375">
        <f t="shared" si="71"/>
        <v>2.2694360000000007</v>
      </c>
      <c r="F206" s="375">
        <f t="shared" si="71"/>
        <v>4.6076379999999988</v>
      </c>
      <c r="G206" s="375">
        <f t="shared" si="71"/>
        <v>6.2555999999999985</v>
      </c>
      <c r="H206" s="375">
        <f t="shared" si="71"/>
        <v>14.127676500000003</v>
      </c>
      <c r="I206" s="375">
        <f t="shared" si="71"/>
        <v>16.848477499999998</v>
      </c>
      <c r="J206" s="375">
        <f t="shared" si="71"/>
        <v>23.000359499999995</v>
      </c>
      <c r="K206" s="375">
        <f t="shared" si="71"/>
        <v>12.320144999999997</v>
      </c>
      <c r="L206" s="375">
        <f t="shared" si="71"/>
        <v>25.904340000000012</v>
      </c>
      <c r="M206" s="375">
        <f t="shared" si="71"/>
        <v>11.649023999999997</v>
      </c>
      <c r="N206" s="375">
        <f t="shared" si="71"/>
        <v>7.6456100000000067</v>
      </c>
      <c r="O206" s="375">
        <f t="shared" si="71"/>
        <v>8.7536349999999974</v>
      </c>
      <c r="P206" s="375">
        <f t="shared" si="71"/>
        <v>2.1027720000000021</v>
      </c>
      <c r="Q206" s="375">
        <f t="shared" si="71"/>
        <v>1.9015859999999976</v>
      </c>
      <c r="R206" s="375">
        <f t="shared" si="71"/>
        <v>1.3375530000000013</v>
      </c>
      <c r="S206" s="375">
        <f t="shared" si="71"/>
        <v>0.52924949999999904</v>
      </c>
      <c r="T206" s="375">
        <f t="shared" si="71"/>
        <v>0.25085200000000024</v>
      </c>
      <c r="U206" s="375">
        <f t="shared" si="71"/>
        <v>0.43033099999999969</v>
      </c>
      <c r="V206" s="375">
        <f t="shared" si="71"/>
        <v>1.621550000000006E-2</v>
      </c>
      <c r="W206" s="375">
        <f t="shared" si="71"/>
        <v>0</v>
      </c>
      <c r="X206" s="375">
        <f t="shared" si="71"/>
        <v>0</v>
      </c>
      <c r="Y206" s="369"/>
    </row>
    <row r="207" spans="1:26" ht="12.9" thickBot="1" x14ac:dyDescent="0.35">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row>
    <row r="208" spans="1:26" ht="12.9" thickBot="1" x14ac:dyDescent="0.35">
      <c r="A208" s="361" t="s">
        <v>539</v>
      </c>
      <c r="B208" s="359">
        <f>ROW(A208)</f>
        <v>208</v>
      </c>
      <c r="C208" s="363" t="s">
        <v>115</v>
      </c>
      <c r="D208" s="353">
        <f>SUM(B211:Y211)</f>
        <v>139.423417</v>
      </c>
      <c r="E208" s="363" t="s">
        <v>114</v>
      </c>
      <c r="F208" s="354">
        <f>D208/g/J208</f>
        <v>158.62027745922524</v>
      </c>
      <c r="G208" s="363" t="s">
        <v>56</v>
      </c>
      <c r="H208" s="64">
        <v>0.19450000000000001</v>
      </c>
      <c r="I208" s="363" t="s">
        <v>273</v>
      </c>
      <c r="J208" s="355">
        <f>H208-L208</f>
        <v>8.9600000000000013E-2</v>
      </c>
      <c r="K208" s="363" t="s">
        <v>274</v>
      </c>
      <c r="L208" s="64">
        <v>0.10489999999999999</v>
      </c>
      <c r="M208" s="363" t="s">
        <v>57</v>
      </c>
      <c r="N208" s="65">
        <v>114</v>
      </c>
      <c r="O208" s="363" t="s">
        <v>59</v>
      </c>
      <c r="P208" s="65">
        <v>144</v>
      </c>
      <c r="Q208" s="363" t="s">
        <v>60</v>
      </c>
      <c r="R208" s="65">
        <v>228</v>
      </c>
      <c r="S208" s="363" t="s">
        <v>61</v>
      </c>
      <c r="T208" s="65">
        <v>24</v>
      </c>
      <c r="U208" s="363" t="s">
        <v>54</v>
      </c>
      <c r="V208" s="66" t="s">
        <v>119</v>
      </c>
      <c r="W208" s="463" t="s">
        <v>396</v>
      </c>
      <c r="X208" s="465">
        <v>1.3</v>
      </c>
      <c r="Y208" s="463" t="s">
        <v>395</v>
      </c>
      <c r="Z208" s="358">
        <v>12</v>
      </c>
    </row>
    <row r="209" spans="1:26" x14ac:dyDescent="0.3">
      <c r="A209" s="362" t="s">
        <v>33</v>
      </c>
      <c r="B209" s="370">
        <v>0</v>
      </c>
      <c r="C209" s="371">
        <v>1.0999999999999999E-2</v>
      </c>
      <c r="D209" s="371">
        <v>2.1999999999999999E-2</v>
      </c>
      <c r="E209" s="371">
        <v>4.5999999999999999E-2</v>
      </c>
      <c r="F209" s="371">
        <v>8.1000000000000003E-2</v>
      </c>
      <c r="G209" s="371">
        <v>0.219</v>
      </c>
      <c r="H209" s="371">
        <v>0.253</v>
      </c>
      <c r="I209" s="371">
        <v>0.27400000000000002</v>
      </c>
      <c r="J209" s="371">
        <v>0.30499999999999999</v>
      </c>
      <c r="K209" s="371">
        <v>0.41199999999999998</v>
      </c>
      <c r="L209" s="371">
        <v>0.78900000000000003</v>
      </c>
      <c r="M209" s="371">
        <v>0.89900000000000002</v>
      </c>
      <c r="N209" s="371">
        <v>0.95299999999999996</v>
      </c>
      <c r="O209" s="371">
        <v>0.999</v>
      </c>
      <c r="P209" s="371">
        <v>1.03</v>
      </c>
      <c r="Q209" s="371">
        <v>1.0569999999999999</v>
      </c>
      <c r="R209" s="371">
        <v>1.1020000000000001</v>
      </c>
      <c r="S209" s="371">
        <v>1.1539999999999999</v>
      </c>
      <c r="T209" s="371">
        <v>1.1970000000000001</v>
      </c>
      <c r="U209" s="371">
        <v>1.2769999999999999</v>
      </c>
      <c r="V209" s="371">
        <v>1.335</v>
      </c>
      <c r="W209" s="371">
        <v>1.4510000000000001</v>
      </c>
      <c r="X209" s="371">
        <v>2</v>
      </c>
      <c r="Y209" s="381">
        <v>1000</v>
      </c>
    </row>
    <row r="210" spans="1:26" x14ac:dyDescent="0.3">
      <c r="A210" s="378" t="s">
        <v>34</v>
      </c>
      <c r="B210" s="372">
        <v>0</v>
      </c>
      <c r="C210" s="373">
        <v>198.41800000000001</v>
      </c>
      <c r="D210" s="373">
        <v>221.83500000000001</v>
      </c>
      <c r="E210" s="373">
        <v>212.65799999999999</v>
      </c>
      <c r="F210" s="373">
        <v>218.35400000000001</v>
      </c>
      <c r="G210" s="373">
        <v>204.43</v>
      </c>
      <c r="H210" s="373">
        <v>195.886</v>
      </c>
      <c r="I210" s="373">
        <v>183.54400000000001</v>
      </c>
      <c r="J210" s="373">
        <v>88.290999999999997</v>
      </c>
      <c r="K210" s="373">
        <v>93.671000000000006</v>
      </c>
      <c r="L210" s="373">
        <v>93.986999999999995</v>
      </c>
      <c r="M210" s="373">
        <v>91.138999999999996</v>
      </c>
      <c r="N210" s="373">
        <v>89.873000000000005</v>
      </c>
      <c r="O210" s="373">
        <v>87.025000000000006</v>
      </c>
      <c r="P210" s="373">
        <v>81.328999999999994</v>
      </c>
      <c r="Q210" s="373">
        <v>69.936999999999998</v>
      </c>
      <c r="R210" s="373">
        <v>54.113999999999997</v>
      </c>
      <c r="S210" s="373">
        <v>42.405000000000001</v>
      </c>
      <c r="T210" s="373">
        <v>31.646000000000001</v>
      </c>
      <c r="U210" s="373">
        <v>17.088999999999999</v>
      </c>
      <c r="V210" s="373">
        <v>9.81</v>
      </c>
      <c r="W210" s="373">
        <v>0</v>
      </c>
      <c r="X210" s="373">
        <v>0</v>
      </c>
      <c r="Y210" s="382">
        <v>0</v>
      </c>
    </row>
    <row r="211" spans="1:26" ht="12.9" thickBot="1" x14ac:dyDescent="0.35">
      <c r="A211" s="379" t="s">
        <v>116</v>
      </c>
      <c r="B211" s="374">
        <f t="shared" ref="B211:X211" si="72">(C210+B210)*(C209-B209)/2</f>
        <v>1.091299</v>
      </c>
      <c r="C211" s="375">
        <f t="shared" si="72"/>
        <v>2.3113915</v>
      </c>
      <c r="D211" s="375">
        <f t="shared" si="72"/>
        <v>5.2139160000000002</v>
      </c>
      <c r="E211" s="375">
        <f t="shared" si="72"/>
        <v>7.5427100000000005</v>
      </c>
      <c r="F211" s="375">
        <f t="shared" si="72"/>
        <v>29.172096000000003</v>
      </c>
      <c r="G211" s="375">
        <f t="shared" si="72"/>
        <v>6.8053720000000011</v>
      </c>
      <c r="H211" s="375">
        <f t="shared" si="72"/>
        <v>3.9840150000000034</v>
      </c>
      <c r="I211" s="375">
        <f t="shared" si="72"/>
        <v>4.2134424999999966</v>
      </c>
      <c r="J211" s="375">
        <f t="shared" si="72"/>
        <v>9.7349669999999975</v>
      </c>
      <c r="K211" s="375">
        <f t="shared" si="72"/>
        <v>35.373533000000009</v>
      </c>
      <c r="L211" s="375">
        <f t="shared" si="72"/>
        <v>10.181929999999998</v>
      </c>
      <c r="M211" s="375">
        <f t="shared" si="72"/>
        <v>4.8873239999999942</v>
      </c>
      <c r="N211" s="375">
        <f t="shared" si="72"/>
        <v>4.068654000000004</v>
      </c>
      <c r="O211" s="375">
        <f t="shared" si="72"/>
        <v>2.6094870000000019</v>
      </c>
      <c r="P211" s="375">
        <f t="shared" si="72"/>
        <v>2.0420909999999934</v>
      </c>
      <c r="Q211" s="375">
        <f t="shared" si="72"/>
        <v>2.791147500000009</v>
      </c>
      <c r="R211" s="375">
        <f t="shared" si="72"/>
        <v>2.5094939999999917</v>
      </c>
      <c r="S211" s="375">
        <f t="shared" si="72"/>
        <v>1.5920965000000056</v>
      </c>
      <c r="T211" s="375">
        <f t="shared" si="72"/>
        <v>1.9493999999999962</v>
      </c>
      <c r="U211" s="375">
        <f t="shared" si="72"/>
        <v>0.78007100000000074</v>
      </c>
      <c r="V211" s="375">
        <f t="shared" si="72"/>
        <v>0.56898000000000049</v>
      </c>
      <c r="W211" s="375">
        <f t="shared" si="72"/>
        <v>0</v>
      </c>
      <c r="X211" s="375">
        <f t="shared" si="72"/>
        <v>0</v>
      </c>
      <c r="Y211" s="369"/>
    </row>
    <row r="212" spans="1:26" ht="12.9" thickBot="1" x14ac:dyDescent="0.35">
      <c r="A212" s="6" t="s">
        <v>318</v>
      </c>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row>
    <row r="213" spans="1:26" ht="12.9" thickBot="1" x14ac:dyDescent="0.35">
      <c r="A213" s="361" t="s">
        <v>377</v>
      </c>
      <c r="B213" s="359">
        <f>ROW(A213)</f>
        <v>213</v>
      </c>
      <c r="C213" s="363" t="s">
        <v>115</v>
      </c>
      <c r="D213" s="353">
        <f>SUM(B216:Y216)</f>
        <v>82.798500000000018</v>
      </c>
      <c r="E213" s="363" t="s">
        <v>114</v>
      </c>
      <c r="F213" s="354">
        <f>D213/g/J213</f>
        <v>131.87834480122325</v>
      </c>
      <c r="G213" s="363" t="s">
        <v>56</v>
      </c>
      <c r="H213" s="64">
        <v>0.152</v>
      </c>
      <c r="I213" s="363" t="s">
        <v>273</v>
      </c>
      <c r="J213" s="355">
        <f>H213-L213</f>
        <v>6.4000000000000001E-2</v>
      </c>
      <c r="K213" s="363" t="s">
        <v>274</v>
      </c>
      <c r="L213" s="64">
        <v>8.7999999999999995E-2</v>
      </c>
      <c r="M213" s="363" t="s">
        <v>57</v>
      </c>
      <c r="N213" s="65">
        <v>71</v>
      </c>
      <c r="O213" s="363" t="s">
        <v>59</v>
      </c>
      <c r="P213" s="65">
        <v>71</v>
      </c>
      <c r="Q213" s="363" t="s">
        <v>60</v>
      </c>
      <c r="R213" s="65">
        <v>142</v>
      </c>
      <c r="S213" s="363" t="s">
        <v>61</v>
      </c>
      <c r="T213" s="65">
        <v>29</v>
      </c>
      <c r="U213" s="363" t="s">
        <v>54</v>
      </c>
      <c r="V213" s="66" t="s">
        <v>119</v>
      </c>
      <c r="W213" s="463" t="s">
        <v>396</v>
      </c>
      <c r="X213" s="465">
        <v>0.96</v>
      </c>
      <c r="Y213" s="463" t="s">
        <v>395</v>
      </c>
      <c r="Z213" s="358">
        <v>11</v>
      </c>
    </row>
    <row r="214" spans="1:26" x14ac:dyDescent="0.3">
      <c r="A214" s="362" t="s">
        <v>33</v>
      </c>
      <c r="B214" s="370">
        <v>0</v>
      </c>
      <c r="C214" s="371">
        <v>0.02</v>
      </c>
      <c r="D214" s="371">
        <v>0.03</v>
      </c>
      <c r="E214" s="371">
        <v>0.04</v>
      </c>
      <c r="F214" s="371">
        <v>0.06</v>
      </c>
      <c r="G214" s="371">
        <v>0.08</v>
      </c>
      <c r="H214" s="371">
        <v>0.15</v>
      </c>
      <c r="I214" s="371">
        <v>0.18</v>
      </c>
      <c r="J214" s="371">
        <v>0.2</v>
      </c>
      <c r="K214" s="371">
        <v>0.3</v>
      </c>
      <c r="L214" s="371">
        <v>0.4</v>
      </c>
      <c r="M214" s="371">
        <v>0.5</v>
      </c>
      <c r="N214" s="371">
        <v>0.6</v>
      </c>
      <c r="O214" s="371">
        <v>0.7</v>
      </c>
      <c r="P214" s="371">
        <v>0.82</v>
      </c>
      <c r="Q214" s="371">
        <v>0.93</v>
      </c>
      <c r="R214" s="371">
        <v>1</v>
      </c>
      <c r="S214" s="371">
        <f t="shared" ref="S214:X215" si="73">R214</f>
        <v>1</v>
      </c>
      <c r="T214" s="371">
        <f t="shared" si="73"/>
        <v>1</v>
      </c>
      <c r="U214" s="371">
        <f t="shared" si="73"/>
        <v>1</v>
      </c>
      <c r="V214" s="371">
        <f t="shared" si="73"/>
        <v>1</v>
      </c>
      <c r="W214" s="371">
        <f t="shared" si="73"/>
        <v>1</v>
      </c>
      <c r="X214" s="371">
        <v>2</v>
      </c>
      <c r="Y214" s="381">
        <v>1000</v>
      </c>
    </row>
    <row r="215" spans="1:26" x14ac:dyDescent="0.3">
      <c r="A215" s="378" t="s">
        <v>34</v>
      </c>
      <c r="B215" s="372">
        <v>0</v>
      </c>
      <c r="C215" s="373">
        <v>41.9</v>
      </c>
      <c r="D215" s="373">
        <v>92.1</v>
      </c>
      <c r="E215" s="373">
        <v>116.7</v>
      </c>
      <c r="F215" s="373">
        <v>112.7</v>
      </c>
      <c r="G215" s="373">
        <v>82.7</v>
      </c>
      <c r="H215" s="373">
        <v>84.7</v>
      </c>
      <c r="I215" s="373">
        <v>86.2</v>
      </c>
      <c r="J215" s="373">
        <v>87.9</v>
      </c>
      <c r="K215" s="373">
        <v>90.9</v>
      </c>
      <c r="L215" s="373">
        <v>93.9</v>
      </c>
      <c r="M215" s="373">
        <v>95.3</v>
      </c>
      <c r="N215" s="373">
        <v>96.8</v>
      </c>
      <c r="O215" s="373">
        <v>97.6</v>
      </c>
      <c r="P215" s="373">
        <v>108.2</v>
      </c>
      <c r="Q215" s="373">
        <v>11</v>
      </c>
      <c r="R215" s="373">
        <v>0</v>
      </c>
      <c r="S215" s="373">
        <f t="shared" si="73"/>
        <v>0</v>
      </c>
      <c r="T215" s="373">
        <f t="shared" si="73"/>
        <v>0</v>
      </c>
      <c r="U215" s="373">
        <f t="shared" si="73"/>
        <v>0</v>
      </c>
      <c r="V215" s="373">
        <f t="shared" si="73"/>
        <v>0</v>
      </c>
      <c r="W215" s="373">
        <f t="shared" si="73"/>
        <v>0</v>
      </c>
      <c r="X215" s="373">
        <f t="shared" si="73"/>
        <v>0</v>
      </c>
      <c r="Y215" s="382">
        <v>0</v>
      </c>
    </row>
    <row r="216" spans="1:26" ht="12.9" thickBot="1" x14ac:dyDescent="0.35">
      <c r="A216" s="379" t="s">
        <v>116</v>
      </c>
      <c r="B216" s="374">
        <f t="shared" ref="B216:V216" si="74">(C215+B215)*(C214-B214)/2</f>
        <v>0.41899999999999998</v>
      </c>
      <c r="C216" s="375">
        <f t="shared" si="74"/>
        <v>0.66999999999999993</v>
      </c>
      <c r="D216" s="375">
        <f t="shared" si="74"/>
        <v>1.0440000000000003</v>
      </c>
      <c r="E216" s="375">
        <f t="shared" si="74"/>
        <v>2.2939999999999996</v>
      </c>
      <c r="F216" s="375">
        <f t="shared" si="74"/>
        <v>1.9540000000000004</v>
      </c>
      <c r="G216" s="375">
        <f t="shared" si="74"/>
        <v>5.859</v>
      </c>
      <c r="H216" s="375">
        <f t="shared" si="74"/>
        <v>2.5634999999999999</v>
      </c>
      <c r="I216" s="375">
        <f t="shared" si="74"/>
        <v>1.7410000000000019</v>
      </c>
      <c r="J216" s="375">
        <f>(K215+J215)*(K214-J214)/2</f>
        <v>8.9399999999999977</v>
      </c>
      <c r="K216" s="375">
        <f t="shared" si="74"/>
        <v>9.2400000000000038</v>
      </c>
      <c r="L216" s="375">
        <f t="shared" si="74"/>
        <v>9.4599999999999973</v>
      </c>
      <c r="M216" s="375">
        <f t="shared" si="74"/>
        <v>9.6049999999999969</v>
      </c>
      <c r="N216" s="375">
        <f t="shared" si="74"/>
        <v>9.7199999999999971</v>
      </c>
      <c r="O216" s="375">
        <f t="shared" si="74"/>
        <v>12.348000000000001</v>
      </c>
      <c r="P216" s="375">
        <f t="shared" si="74"/>
        <v>6.5560000000000063</v>
      </c>
      <c r="Q216" s="375">
        <f t="shared" si="74"/>
        <v>0.38499999999999973</v>
      </c>
      <c r="R216" s="375">
        <f t="shared" si="74"/>
        <v>0</v>
      </c>
      <c r="S216" s="375">
        <f>(T215+S215)*(T214-S214)/2</f>
        <v>0</v>
      </c>
      <c r="T216" s="375">
        <f t="shared" si="74"/>
        <v>0</v>
      </c>
      <c r="U216" s="375">
        <f t="shared" si="74"/>
        <v>0</v>
      </c>
      <c r="V216" s="375">
        <f t="shared" si="74"/>
        <v>0</v>
      </c>
      <c r="W216" s="375">
        <f>(X215+W215)*(X214-W214)/2</f>
        <v>0</v>
      </c>
      <c r="X216" s="375">
        <f>(Y215+X215)*(Y214-X214)/2</f>
        <v>0</v>
      </c>
      <c r="Y216" s="369"/>
    </row>
    <row r="217" spans="1:26" ht="12.9" thickBot="1" x14ac:dyDescent="0.35">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row>
    <row r="218" spans="1:26" ht="12.9" thickBot="1" x14ac:dyDescent="0.35">
      <c r="A218" s="361" t="s">
        <v>378</v>
      </c>
      <c r="B218" s="359">
        <f>ROW(A218)</f>
        <v>218</v>
      </c>
      <c r="C218" s="363" t="s">
        <v>115</v>
      </c>
      <c r="D218" s="353">
        <f>SUM(B221:Y221)</f>
        <v>98.257101163036367</v>
      </c>
      <c r="E218" s="363" t="s">
        <v>114</v>
      </c>
      <c r="F218" s="354">
        <f>D218/g/J218</f>
        <v>177.58890761893778</v>
      </c>
      <c r="G218" s="363" t="s">
        <v>56</v>
      </c>
      <c r="H218" s="64">
        <v>0.14319999999999999</v>
      </c>
      <c r="I218" s="363" t="s">
        <v>273</v>
      </c>
      <c r="J218" s="355">
        <f>H218-L218</f>
        <v>5.6399999999999992E-2</v>
      </c>
      <c r="K218" s="363" t="s">
        <v>274</v>
      </c>
      <c r="L218" s="64">
        <v>8.6800000000000002E-2</v>
      </c>
      <c r="M218" s="363" t="s">
        <v>57</v>
      </c>
      <c r="N218" s="65">
        <v>71</v>
      </c>
      <c r="O218" s="363" t="s">
        <v>59</v>
      </c>
      <c r="P218" s="65">
        <v>71</v>
      </c>
      <c r="Q218" s="363" t="s">
        <v>60</v>
      </c>
      <c r="R218" s="65">
        <v>142</v>
      </c>
      <c r="S218" s="363" t="s">
        <v>61</v>
      </c>
      <c r="T218" s="65">
        <v>29</v>
      </c>
      <c r="U218" s="363" t="s">
        <v>54</v>
      </c>
      <c r="V218" s="66" t="s">
        <v>119</v>
      </c>
      <c r="W218" s="463" t="s">
        <v>396</v>
      </c>
      <c r="X218" s="465">
        <v>1.1499999999999999</v>
      </c>
      <c r="Y218" s="463" t="s">
        <v>395</v>
      </c>
      <c r="Z218" s="358">
        <v>14</v>
      </c>
    </row>
    <row r="219" spans="1:26" x14ac:dyDescent="0.3">
      <c r="A219" s="362" t="s">
        <v>33</v>
      </c>
      <c r="B219" s="370">
        <v>0</v>
      </c>
      <c r="C219" s="371">
        <v>1.4999999999999999E-2</v>
      </c>
      <c r="D219" s="371">
        <v>0.03</v>
      </c>
      <c r="E219" s="371">
        <v>4.4999999999999998E-2</v>
      </c>
      <c r="F219" s="371">
        <v>0.06</v>
      </c>
      <c r="G219" s="371">
        <v>7.4999999999999997E-2</v>
      </c>
      <c r="H219" s="371">
        <v>0.09</v>
      </c>
      <c r="I219" s="371">
        <v>0.105</v>
      </c>
      <c r="J219" s="371">
        <v>0.12</v>
      </c>
      <c r="K219" s="371">
        <v>0.18</v>
      </c>
      <c r="L219" s="371">
        <v>0.24</v>
      </c>
      <c r="M219" s="371">
        <v>0.3</v>
      </c>
      <c r="N219" s="371">
        <v>0.48</v>
      </c>
      <c r="O219" s="371">
        <v>0.6</v>
      </c>
      <c r="P219" s="371">
        <v>0.66</v>
      </c>
      <c r="Q219" s="371">
        <v>0.72</v>
      </c>
      <c r="R219" s="371">
        <v>0.78</v>
      </c>
      <c r="S219" s="371">
        <v>0.84</v>
      </c>
      <c r="T219" s="371">
        <v>0.9</v>
      </c>
      <c r="U219" s="371">
        <v>0.96</v>
      </c>
      <c r="V219" s="371">
        <v>1.0349999999999999</v>
      </c>
      <c r="W219" s="371">
        <v>1.2</v>
      </c>
      <c r="X219" s="371">
        <v>2</v>
      </c>
      <c r="Y219" s="381">
        <v>1000</v>
      </c>
    </row>
    <row r="220" spans="1:26" x14ac:dyDescent="0.3">
      <c r="A220" s="378" t="s">
        <v>34</v>
      </c>
      <c r="B220" s="372">
        <v>0</v>
      </c>
      <c r="C220" s="376">
        <v>99.328788958822486</v>
      </c>
      <c r="D220" s="376">
        <v>109.07039432469</v>
      </c>
      <c r="E220" s="376">
        <v>65.255411286427503</v>
      </c>
      <c r="F220" s="376">
        <v>67.568486533117493</v>
      </c>
      <c r="G220" s="376">
        <v>73.929443461515007</v>
      </c>
      <c r="H220" s="376">
        <v>74.329783408057494</v>
      </c>
      <c r="I220" s="376">
        <v>78.1552540083525</v>
      </c>
      <c r="J220" s="376">
        <v>78.600076171177506</v>
      </c>
      <c r="K220" s="376">
        <v>82.203135690059995</v>
      </c>
      <c r="L220" s="376">
        <v>84.516210936749999</v>
      </c>
      <c r="M220" s="376">
        <v>88.51961040217499</v>
      </c>
      <c r="N220" s="376">
        <v>95.102978411984992</v>
      </c>
      <c r="O220" s="376">
        <v>95.547800574809997</v>
      </c>
      <c r="P220" s="376">
        <v>94.480227384029988</v>
      </c>
      <c r="Q220" s="376">
        <v>92.122669921057494</v>
      </c>
      <c r="R220" s="376">
        <v>90.743721216299988</v>
      </c>
      <c r="S220" s="376">
        <v>88.964432564999996</v>
      </c>
      <c r="T220" s="376">
        <v>85.405855262399996</v>
      </c>
      <c r="U220" s="376">
        <v>83.448637745970004</v>
      </c>
      <c r="V220" s="376">
        <v>88.074788239349999</v>
      </c>
      <c r="W220" s="376">
        <v>0</v>
      </c>
      <c r="X220" s="373">
        <v>0</v>
      </c>
      <c r="Y220" s="382">
        <v>0</v>
      </c>
    </row>
    <row r="221" spans="1:26" ht="12.9" thickBot="1" x14ac:dyDescent="0.35">
      <c r="A221" s="379" t="s">
        <v>116</v>
      </c>
      <c r="B221" s="374">
        <f t="shared" ref="B221:V221" si="75">(C220+B220)*(C219-B219)/2</f>
        <v>0.74496591719116867</v>
      </c>
      <c r="C221" s="375">
        <f t="shared" si="75"/>
        <v>1.5629938746263436</v>
      </c>
      <c r="D221" s="375">
        <f t="shared" si="75"/>
        <v>1.3074435420833814</v>
      </c>
      <c r="E221" s="375">
        <f t="shared" si="75"/>
        <v>0.99617923364658734</v>
      </c>
      <c r="F221" s="375">
        <f t="shared" si="75"/>
        <v>1.0612344749597438</v>
      </c>
      <c r="G221" s="375">
        <f t="shared" si="75"/>
        <v>1.1119442015217937</v>
      </c>
      <c r="H221" s="375">
        <f t="shared" si="75"/>
        <v>1.1436377806230749</v>
      </c>
      <c r="I221" s="375">
        <f t="shared" si="75"/>
        <v>1.175664976346475</v>
      </c>
      <c r="J221" s="375">
        <f>(K220+J220)*(K219-J219)/2</f>
        <v>4.824096355837125</v>
      </c>
      <c r="K221" s="375">
        <f t="shared" si="75"/>
        <v>5.0015803988042995</v>
      </c>
      <c r="L221" s="375">
        <f t="shared" si="75"/>
        <v>5.1910746401677494</v>
      </c>
      <c r="M221" s="375">
        <f t="shared" si="75"/>
        <v>16.526032993274399</v>
      </c>
      <c r="N221" s="375">
        <f t="shared" si="75"/>
        <v>11.439046739207699</v>
      </c>
      <c r="O221" s="375">
        <f t="shared" si="75"/>
        <v>5.7008408387652043</v>
      </c>
      <c r="P221" s="375">
        <f t="shared" si="75"/>
        <v>5.5980869191526192</v>
      </c>
      <c r="Q221" s="375">
        <f t="shared" si="75"/>
        <v>5.4859917341207289</v>
      </c>
      <c r="R221" s="375">
        <f t="shared" si="75"/>
        <v>5.3912446134389942</v>
      </c>
      <c r="S221" s="375">
        <f>(T220+S220)*(T219-S219)/2</f>
        <v>5.2311086348220037</v>
      </c>
      <c r="T221" s="375">
        <f t="shared" si="75"/>
        <v>5.0656347902510959</v>
      </c>
      <c r="U221" s="375">
        <f t="shared" si="75"/>
        <v>6.4321284744494962</v>
      </c>
      <c r="V221" s="375">
        <f t="shared" si="75"/>
        <v>7.2661700297463767</v>
      </c>
      <c r="W221" s="375">
        <f>(X220+W220)*(X219-W219)/2</f>
        <v>0</v>
      </c>
      <c r="X221" s="375">
        <f>(Y220+X220)*(Y219-X219)/2</f>
        <v>0</v>
      </c>
      <c r="Y221" s="369"/>
    </row>
    <row r="222" spans="1:26" ht="12.9" thickBot="1" x14ac:dyDescent="0.35">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row>
    <row r="223" spans="1:26" ht="12.9" thickBot="1" x14ac:dyDescent="0.35">
      <c r="A223" s="361" t="s">
        <v>379</v>
      </c>
      <c r="B223" s="359">
        <f>ROW(A223)</f>
        <v>223</v>
      </c>
      <c r="C223" s="363" t="s">
        <v>115</v>
      </c>
      <c r="D223" s="353">
        <f>SUM(B226:Y226)</f>
        <v>109.60639850000001</v>
      </c>
      <c r="E223" s="363" t="s">
        <v>114</v>
      </c>
      <c r="F223" s="354">
        <f>D223/g/J223</f>
        <v>194.31174666489383</v>
      </c>
      <c r="G223" s="363" t="s">
        <v>56</v>
      </c>
      <c r="H223" s="64">
        <v>0.14130000000000001</v>
      </c>
      <c r="I223" s="363" t="s">
        <v>273</v>
      </c>
      <c r="J223" s="355">
        <f>H223-L223</f>
        <v>5.7500000000000009E-2</v>
      </c>
      <c r="K223" s="363" t="s">
        <v>274</v>
      </c>
      <c r="L223" s="64">
        <v>8.3799999999999999E-2</v>
      </c>
      <c r="M223" s="363" t="s">
        <v>57</v>
      </c>
      <c r="N223" s="65">
        <v>71</v>
      </c>
      <c r="O223" s="363" t="s">
        <v>59</v>
      </c>
      <c r="P223" s="65">
        <v>71</v>
      </c>
      <c r="Q223" s="363" t="s">
        <v>60</v>
      </c>
      <c r="R223" s="65">
        <v>142</v>
      </c>
      <c r="S223" s="363" t="s">
        <v>61</v>
      </c>
      <c r="T223" s="65">
        <v>29</v>
      </c>
      <c r="U223" s="363" t="s">
        <v>54</v>
      </c>
      <c r="V223" s="66" t="s">
        <v>403</v>
      </c>
      <c r="W223" s="463" t="s">
        <v>396</v>
      </c>
      <c r="X223" s="465">
        <v>0.45</v>
      </c>
      <c r="Y223" s="463" t="s">
        <v>395</v>
      </c>
      <c r="Z223" s="358">
        <v>14</v>
      </c>
    </row>
    <row r="224" spans="1:26" x14ac:dyDescent="0.3">
      <c r="A224" s="362" t="s">
        <v>33</v>
      </c>
      <c r="B224" s="370">
        <v>0</v>
      </c>
      <c r="C224" s="371">
        <v>6.0000000000000001E-3</v>
      </c>
      <c r="D224" s="371">
        <v>1.0999999999999999E-2</v>
      </c>
      <c r="E224" s="371">
        <v>1.6E-2</v>
      </c>
      <c r="F224" s="371">
        <v>3.1E-2</v>
      </c>
      <c r="G224" s="371">
        <v>7.4999999999999997E-2</v>
      </c>
      <c r="H224" s="371">
        <v>0.122</v>
      </c>
      <c r="I224" s="371">
        <v>0.216</v>
      </c>
      <c r="J224" s="371">
        <v>0.25</v>
      </c>
      <c r="K224" s="371">
        <v>0.28699999999999998</v>
      </c>
      <c r="L224" s="371">
        <v>0.35399999999999998</v>
      </c>
      <c r="M224" s="371">
        <v>0.374</v>
      </c>
      <c r="N224" s="371">
        <v>0.4</v>
      </c>
      <c r="O224" s="371">
        <v>0.41299999999999998</v>
      </c>
      <c r="P224" s="371">
        <v>0.42</v>
      </c>
      <c r="Q224" s="371">
        <v>0.433</v>
      </c>
      <c r="R224" s="371">
        <v>0.44500000000000001</v>
      </c>
      <c r="S224" s="371">
        <v>0.45400000000000001</v>
      </c>
      <c r="T224" s="371">
        <f t="shared" ref="T224:X225" si="76">S224</f>
        <v>0.45400000000000001</v>
      </c>
      <c r="U224" s="371">
        <f t="shared" si="76"/>
        <v>0.45400000000000001</v>
      </c>
      <c r="V224" s="371">
        <f t="shared" si="76"/>
        <v>0.45400000000000001</v>
      </c>
      <c r="W224" s="371">
        <f t="shared" si="76"/>
        <v>0.45400000000000001</v>
      </c>
      <c r="X224" s="371">
        <v>2</v>
      </c>
      <c r="Y224" s="381">
        <v>1000</v>
      </c>
    </row>
    <row r="225" spans="1:26" x14ac:dyDescent="0.3">
      <c r="A225" s="378" t="s">
        <v>34</v>
      </c>
      <c r="B225" s="372">
        <v>0</v>
      </c>
      <c r="C225" s="373">
        <v>151.62100000000001</v>
      </c>
      <c r="D225" s="373">
        <v>198.07900000000001</v>
      </c>
      <c r="E225" s="373">
        <v>203.12100000000001</v>
      </c>
      <c r="F225" s="373">
        <v>201.68100000000001</v>
      </c>
      <c r="G225" s="373">
        <v>226.17</v>
      </c>
      <c r="H225" s="373">
        <v>250.3</v>
      </c>
      <c r="I225" s="373">
        <v>280.19200000000001</v>
      </c>
      <c r="J225" s="373">
        <v>287.03500000000003</v>
      </c>
      <c r="K225" s="373">
        <v>284.87400000000002</v>
      </c>
      <c r="L225" s="373">
        <v>269.74799999999999</v>
      </c>
      <c r="M225" s="373">
        <v>258.58300000000003</v>
      </c>
      <c r="N225" s="373">
        <v>233.37299999999999</v>
      </c>
      <c r="O225" s="373">
        <v>234.09399999999999</v>
      </c>
      <c r="P225" s="373">
        <v>227.61099999999999</v>
      </c>
      <c r="Q225" s="373">
        <v>137.935</v>
      </c>
      <c r="R225" s="373">
        <v>33.853999999999999</v>
      </c>
      <c r="S225" s="373">
        <v>0</v>
      </c>
      <c r="T225" s="373">
        <f t="shared" si="76"/>
        <v>0</v>
      </c>
      <c r="U225" s="373">
        <f t="shared" si="76"/>
        <v>0</v>
      </c>
      <c r="V225" s="373">
        <f t="shared" si="76"/>
        <v>0</v>
      </c>
      <c r="W225" s="373">
        <f t="shared" si="76"/>
        <v>0</v>
      </c>
      <c r="X225" s="373">
        <f t="shared" si="76"/>
        <v>0</v>
      </c>
      <c r="Y225" s="382">
        <v>0</v>
      </c>
    </row>
    <row r="226" spans="1:26" ht="12.9" thickBot="1" x14ac:dyDescent="0.35">
      <c r="A226" s="379" t="s">
        <v>116</v>
      </c>
      <c r="B226" s="374">
        <f t="shared" ref="B226:X226" si="77">(C225+B225)*(C224-B224)/2</f>
        <v>0.45486300000000002</v>
      </c>
      <c r="C226" s="375">
        <f t="shared" si="77"/>
        <v>0.87424999999999997</v>
      </c>
      <c r="D226" s="375">
        <f t="shared" si="77"/>
        <v>1.0030000000000003</v>
      </c>
      <c r="E226" s="375">
        <f t="shared" si="77"/>
        <v>3.0360149999999999</v>
      </c>
      <c r="F226" s="375">
        <f t="shared" si="77"/>
        <v>9.4127219999999987</v>
      </c>
      <c r="G226" s="375">
        <f t="shared" si="77"/>
        <v>11.197045000000001</v>
      </c>
      <c r="H226" s="375">
        <f t="shared" si="77"/>
        <v>24.933123999999999</v>
      </c>
      <c r="I226" s="375">
        <f t="shared" si="77"/>
        <v>9.6428590000000014</v>
      </c>
      <c r="J226" s="375">
        <f t="shared" si="77"/>
        <v>10.580316499999995</v>
      </c>
      <c r="K226" s="375">
        <f t="shared" si="77"/>
        <v>18.579837000000005</v>
      </c>
      <c r="L226" s="375">
        <f t="shared" si="77"/>
        <v>5.2833100000000046</v>
      </c>
      <c r="M226" s="375">
        <f t="shared" si="77"/>
        <v>6.3954280000000061</v>
      </c>
      <c r="N226" s="375">
        <f t="shared" si="77"/>
        <v>3.0385354999999898</v>
      </c>
      <c r="O226" s="375">
        <f t="shared" si="77"/>
        <v>1.6159675000000013</v>
      </c>
      <c r="P226" s="375">
        <f t="shared" si="77"/>
        <v>2.3760490000000019</v>
      </c>
      <c r="Q226" s="375">
        <f t="shared" si="77"/>
        <v>1.0307340000000009</v>
      </c>
      <c r="R226" s="375">
        <f t="shared" si="77"/>
        <v>0.15234300000000014</v>
      </c>
      <c r="S226" s="375">
        <f t="shared" si="77"/>
        <v>0</v>
      </c>
      <c r="T226" s="375">
        <f t="shared" si="77"/>
        <v>0</v>
      </c>
      <c r="U226" s="375">
        <f t="shared" si="77"/>
        <v>0</v>
      </c>
      <c r="V226" s="375">
        <f t="shared" si="77"/>
        <v>0</v>
      </c>
      <c r="W226" s="375">
        <f t="shared" si="77"/>
        <v>0</v>
      </c>
      <c r="X226" s="375">
        <f t="shared" si="77"/>
        <v>0</v>
      </c>
      <c r="Y226" s="369"/>
    </row>
    <row r="227" spans="1:26" ht="12.9" thickBot="1" x14ac:dyDescent="0.35">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row>
    <row r="228" spans="1:26" ht="12.9" thickBot="1" x14ac:dyDescent="0.35">
      <c r="A228" s="361" t="s">
        <v>380</v>
      </c>
      <c r="B228" s="359">
        <f>ROW(A228)</f>
        <v>228</v>
      </c>
      <c r="C228" s="363" t="s">
        <v>115</v>
      </c>
      <c r="D228" s="353">
        <f>SUM(B231:Y231)</f>
        <v>115.63</v>
      </c>
      <c r="E228" s="363" t="s">
        <v>114</v>
      </c>
      <c r="F228" s="354">
        <f>D228/g/J228</f>
        <v>199.77884897804037</v>
      </c>
      <c r="G228" s="363" t="s">
        <v>56</v>
      </c>
      <c r="H228" s="64">
        <v>0.14499999999999999</v>
      </c>
      <c r="I228" s="363" t="s">
        <v>273</v>
      </c>
      <c r="J228" s="355">
        <f>H228-L228</f>
        <v>5.8999999999999997E-2</v>
      </c>
      <c r="K228" s="363" t="s">
        <v>274</v>
      </c>
      <c r="L228" s="64">
        <v>8.5999999999999993E-2</v>
      </c>
      <c r="M228" s="363" t="s">
        <v>57</v>
      </c>
      <c r="N228" s="65">
        <v>71</v>
      </c>
      <c r="O228" s="363" t="s">
        <v>59</v>
      </c>
      <c r="P228" s="65">
        <v>71</v>
      </c>
      <c r="Q228" s="363" t="s">
        <v>60</v>
      </c>
      <c r="R228" s="65">
        <v>142</v>
      </c>
      <c r="S228" s="363" t="s">
        <v>61</v>
      </c>
      <c r="T228" s="65">
        <v>29</v>
      </c>
      <c r="U228" s="363" t="s">
        <v>54</v>
      </c>
      <c r="V228" s="66" t="s">
        <v>402</v>
      </c>
      <c r="W228" s="463" t="s">
        <v>396</v>
      </c>
      <c r="X228" s="465">
        <v>0.93</v>
      </c>
      <c r="Y228" s="463" t="s">
        <v>395</v>
      </c>
      <c r="Z228" s="358">
        <v>13</v>
      </c>
    </row>
    <row r="229" spans="1:26" x14ac:dyDescent="0.3">
      <c r="A229" s="362" t="s">
        <v>33</v>
      </c>
      <c r="B229" s="370">
        <v>0</v>
      </c>
      <c r="C229" s="371">
        <v>0.01</v>
      </c>
      <c r="D229" s="371">
        <v>0.02</v>
      </c>
      <c r="E229" s="371">
        <v>0.03</v>
      </c>
      <c r="F229" s="371">
        <v>0.04</v>
      </c>
      <c r="G229" s="371">
        <v>0.05</v>
      </c>
      <c r="H229" s="371">
        <v>0.1</v>
      </c>
      <c r="I229" s="371">
        <v>0.2</v>
      </c>
      <c r="J229" s="371">
        <v>0.3</v>
      </c>
      <c r="K229" s="371">
        <v>0.4</v>
      </c>
      <c r="L229" s="371">
        <v>0.6</v>
      </c>
      <c r="M229" s="371">
        <v>0.75</v>
      </c>
      <c r="N229" s="371">
        <v>0.81</v>
      </c>
      <c r="O229" s="371">
        <v>0.86</v>
      </c>
      <c r="P229" s="371">
        <v>0.9</v>
      </c>
      <c r="Q229" s="371">
        <v>0.95</v>
      </c>
      <c r="R229" s="371">
        <v>1</v>
      </c>
      <c r="S229" s="371">
        <v>1</v>
      </c>
      <c r="T229" s="371">
        <v>1</v>
      </c>
      <c r="U229" s="371">
        <v>1</v>
      </c>
      <c r="V229" s="371">
        <v>1</v>
      </c>
      <c r="W229" s="371">
        <v>1</v>
      </c>
      <c r="X229" s="371">
        <v>2</v>
      </c>
      <c r="Y229" s="381">
        <v>1000</v>
      </c>
    </row>
    <row r="230" spans="1:26" x14ac:dyDescent="0.3">
      <c r="A230" s="378" t="s">
        <v>34</v>
      </c>
      <c r="B230" s="372">
        <v>0</v>
      </c>
      <c r="C230" s="376">
        <v>55</v>
      </c>
      <c r="D230" s="376">
        <v>168</v>
      </c>
      <c r="E230" s="376">
        <v>157</v>
      </c>
      <c r="F230" s="376">
        <v>148</v>
      </c>
      <c r="G230" s="376">
        <v>125</v>
      </c>
      <c r="H230" s="376">
        <v>135</v>
      </c>
      <c r="I230" s="376">
        <v>141</v>
      </c>
      <c r="J230" s="376">
        <v>142</v>
      </c>
      <c r="K230" s="376">
        <v>141</v>
      </c>
      <c r="L230" s="376">
        <v>133</v>
      </c>
      <c r="M230" s="376">
        <v>127</v>
      </c>
      <c r="N230" s="376">
        <v>128</v>
      </c>
      <c r="O230" s="376">
        <v>60</v>
      </c>
      <c r="P230" s="376">
        <v>15</v>
      </c>
      <c r="Q230" s="376">
        <v>0</v>
      </c>
      <c r="R230" s="376">
        <v>0</v>
      </c>
      <c r="S230" s="376">
        <v>0</v>
      </c>
      <c r="T230" s="376">
        <v>0</v>
      </c>
      <c r="U230" s="376">
        <v>0</v>
      </c>
      <c r="V230" s="376">
        <v>0</v>
      </c>
      <c r="W230" s="376">
        <v>0</v>
      </c>
      <c r="X230" s="373">
        <v>0</v>
      </c>
      <c r="Y230" s="382">
        <v>0</v>
      </c>
    </row>
    <row r="231" spans="1:26" ht="12.9" thickBot="1" x14ac:dyDescent="0.35">
      <c r="A231" s="379" t="s">
        <v>116</v>
      </c>
      <c r="B231" s="374">
        <f t="shared" ref="B231:X231" si="78">(C230+B230)*(C229-B229)/2</f>
        <v>0.27500000000000002</v>
      </c>
      <c r="C231" s="375">
        <f t="shared" si="78"/>
        <v>1.115</v>
      </c>
      <c r="D231" s="375">
        <f t="shared" si="78"/>
        <v>1.6249999999999998</v>
      </c>
      <c r="E231" s="375">
        <f t="shared" si="78"/>
        <v>1.5250000000000004</v>
      </c>
      <c r="F231" s="375">
        <f t="shared" si="78"/>
        <v>1.3650000000000002</v>
      </c>
      <c r="G231" s="375">
        <f t="shared" si="78"/>
        <v>6.5</v>
      </c>
      <c r="H231" s="375">
        <f t="shared" si="78"/>
        <v>13.8</v>
      </c>
      <c r="I231" s="375">
        <f t="shared" si="78"/>
        <v>14.149999999999997</v>
      </c>
      <c r="J231" s="375">
        <f t="shared" si="78"/>
        <v>14.150000000000004</v>
      </c>
      <c r="K231" s="375">
        <f t="shared" si="78"/>
        <v>27.399999999999995</v>
      </c>
      <c r="L231" s="375">
        <f t="shared" si="78"/>
        <v>19.500000000000004</v>
      </c>
      <c r="M231" s="375">
        <f t="shared" si="78"/>
        <v>7.6500000000000066</v>
      </c>
      <c r="N231" s="375">
        <f t="shared" si="78"/>
        <v>4.699999999999994</v>
      </c>
      <c r="O231" s="375">
        <f t="shared" si="78"/>
        <v>1.5000000000000013</v>
      </c>
      <c r="P231" s="375">
        <f t="shared" si="78"/>
        <v>0.3749999999999995</v>
      </c>
      <c r="Q231" s="375">
        <f t="shared" si="78"/>
        <v>0</v>
      </c>
      <c r="R231" s="375">
        <f t="shared" si="78"/>
        <v>0</v>
      </c>
      <c r="S231" s="375">
        <f t="shared" si="78"/>
        <v>0</v>
      </c>
      <c r="T231" s="375">
        <f t="shared" si="78"/>
        <v>0</v>
      </c>
      <c r="U231" s="375">
        <f t="shared" si="78"/>
        <v>0</v>
      </c>
      <c r="V231" s="375">
        <f t="shared" si="78"/>
        <v>0</v>
      </c>
      <c r="W231" s="375">
        <f t="shared" si="78"/>
        <v>0</v>
      </c>
      <c r="X231" s="375">
        <f t="shared" si="78"/>
        <v>0</v>
      </c>
      <c r="Y231" s="369"/>
    </row>
    <row r="232" spans="1:26" ht="12.9" thickBot="1" x14ac:dyDescent="0.35">
      <c r="A232" s="6" t="s">
        <v>388</v>
      </c>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row>
    <row r="233" spans="1:26" ht="12.9" thickBot="1" x14ac:dyDescent="0.35">
      <c r="A233" s="361" t="s">
        <v>389</v>
      </c>
      <c r="B233" s="359">
        <f>ROW(A233)</f>
        <v>233</v>
      </c>
      <c r="C233" s="363" t="s">
        <v>115</v>
      </c>
      <c r="D233" s="353">
        <f>SUM(B236:Y236)</f>
        <v>115.63</v>
      </c>
      <c r="E233" s="363" t="s">
        <v>114</v>
      </c>
      <c r="F233" s="354">
        <f>D233/g/J233</f>
        <v>125.39310733728064</v>
      </c>
      <c r="G233" s="363" t="s">
        <v>56</v>
      </c>
      <c r="H233" s="64">
        <v>0.2</v>
      </c>
      <c r="I233" s="363" t="s">
        <v>273</v>
      </c>
      <c r="J233" s="355">
        <f>H233-L233</f>
        <v>9.4000000000000014E-2</v>
      </c>
      <c r="K233" s="363" t="s">
        <v>274</v>
      </c>
      <c r="L233" s="64">
        <v>0.106</v>
      </c>
      <c r="M233" s="363" t="s">
        <v>57</v>
      </c>
      <c r="N233" s="65">
        <v>93</v>
      </c>
      <c r="O233" s="363" t="s">
        <v>59</v>
      </c>
      <c r="P233" s="65">
        <v>93</v>
      </c>
      <c r="Q233" s="363" t="s">
        <v>60</v>
      </c>
      <c r="R233" s="65">
        <v>187</v>
      </c>
      <c r="S233" s="363" t="s">
        <v>61</v>
      </c>
      <c r="T233" s="65">
        <v>29</v>
      </c>
      <c r="U233" s="363" t="s">
        <v>54</v>
      </c>
      <c r="V233" s="66" t="s">
        <v>119</v>
      </c>
      <c r="W233" s="463" t="s">
        <v>396</v>
      </c>
      <c r="X233" s="465">
        <v>0.96</v>
      </c>
      <c r="Y233" s="463" t="s">
        <v>395</v>
      </c>
      <c r="Z233" s="358">
        <v>14</v>
      </c>
    </row>
    <row r="234" spans="1:26" x14ac:dyDescent="0.3">
      <c r="A234" s="362" t="s">
        <v>33</v>
      </c>
      <c r="B234" s="370">
        <v>0</v>
      </c>
      <c r="C234" s="371">
        <v>0.01</v>
      </c>
      <c r="D234" s="371">
        <v>0.02</v>
      </c>
      <c r="E234" s="371">
        <v>0.03</v>
      </c>
      <c r="F234" s="371">
        <v>0.04</v>
      </c>
      <c r="G234" s="371">
        <v>0.05</v>
      </c>
      <c r="H234" s="371">
        <v>0.1</v>
      </c>
      <c r="I234" s="371">
        <v>0.2</v>
      </c>
      <c r="J234" s="371">
        <v>0.3</v>
      </c>
      <c r="K234" s="371">
        <v>0.4</v>
      </c>
      <c r="L234" s="371">
        <v>0.6</v>
      </c>
      <c r="M234" s="371">
        <v>0.75</v>
      </c>
      <c r="N234" s="371">
        <v>0.81</v>
      </c>
      <c r="O234" s="371">
        <v>0.86</v>
      </c>
      <c r="P234" s="371">
        <v>0.9</v>
      </c>
      <c r="Q234" s="371">
        <v>0.95</v>
      </c>
      <c r="R234" s="371">
        <v>1</v>
      </c>
      <c r="S234" s="371">
        <f t="shared" ref="S234:X235" si="79">R234</f>
        <v>1</v>
      </c>
      <c r="T234" s="371">
        <f t="shared" si="79"/>
        <v>1</v>
      </c>
      <c r="U234" s="371">
        <f t="shared" si="79"/>
        <v>1</v>
      </c>
      <c r="V234" s="371">
        <f t="shared" si="79"/>
        <v>1</v>
      </c>
      <c r="W234" s="371">
        <f t="shared" si="79"/>
        <v>1</v>
      </c>
      <c r="X234" s="371">
        <v>2</v>
      </c>
      <c r="Y234" s="381">
        <v>1000</v>
      </c>
    </row>
    <row r="235" spans="1:26" x14ac:dyDescent="0.3">
      <c r="A235" s="378" t="s">
        <v>34</v>
      </c>
      <c r="B235" s="372">
        <v>0</v>
      </c>
      <c r="C235" s="373">
        <v>55</v>
      </c>
      <c r="D235" s="373">
        <v>168</v>
      </c>
      <c r="E235" s="373">
        <v>157</v>
      </c>
      <c r="F235" s="373">
        <v>148</v>
      </c>
      <c r="G235" s="373">
        <v>125</v>
      </c>
      <c r="H235" s="373">
        <v>135</v>
      </c>
      <c r="I235" s="373">
        <v>141</v>
      </c>
      <c r="J235" s="373">
        <v>142</v>
      </c>
      <c r="K235" s="373">
        <v>141</v>
      </c>
      <c r="L235" s="373">
        <v>133</v>
      </c>
      <c r="M235" s="373">
        <v>127</v>
      </c>
      <c r="N235" s="373">
        <v>128</v>
      </c>
      <c r="O235" s="373">
        <v>60</v>
      </c>
      <c r="P235" s="373">
        <v>15</v>
      </c>
      <c r="Q235" s="373">
        <v>0</v>
      </c>
      <c r="R235" s="373">
        <v>0</v>
      </c>
      <c r="S235" s="373">
        <f t="shared" si="79"/>
        <v>0</v>
      </c>
      <c r="T235" s="373">
        <f t="shared" si="79"/>
        <v>0</v>
      </c>
      <c r="U235" s="373">
        <f t="shared" si="79"/>
        <v>0</v>
      </c>
      <c r="V235" s="373">
        <f t="shared" si="79"/>
        <v>0</v>
      </c>
      <c r="W235" s="373">
        <f t="shared" si="79"/>
        <v>0</v>
      </c>
      <c r="X235" s="373">
        <f t="shared" si="79"/>
        <v>0</v>
      </c>
      <c r="Y235" s="382">
        <v>0</v>
      </c>
    </row>
    <row r="236" spans="1:26" ht="12.9" thickBot="1" x14ac:dyDescent="0.35">
      <c r="A236" s="379" t="s">
        <v>116</v>
      </c>
      <c r="B236" s="374">
        <f t="shared" ref="B236:X236" si="80">(C235+B235)*(C234-B234)/2</f>
        <v>0.27500000000000002</v>
      </c>
      <c r="C236" s="375">
        <f t="shared" si="80"/>
        <v>1.115</v>
      </c>
      <c r="D236" s="375">
        <f t="shared" si="80"/>
        <v>1.6249999999999998</v>
      </c>
      <c r="E236" s="375">
        <f t="shared" si="80"/>
        <v>1.5250000000000004</v>
      </c>
      <c r="F236" s="375">
        <f t="shared" si="80"/>
        <v>1.3650000000000002</v>
      </c>
      <c r="G236" s="375">
        <f t="shared" si="80"/>
        <v>6.5</v>
      </c>
      <c r="H236" s="375">
        <f t="shared" si="80"/>
        <v>13.8</v>
      </c>
      <c r="I236" s="375">
        <f t="shared" si="80"/>
        <v>14.149999999999997</v>
      </c>
      <c r="J236" s="375">
        <f t="shared" si="80"/>
        <v>14.150000000000004</v>
      </c>
      <c r="K236" s="375">
        <f t="shared" si="80"/>
        <v>27.399999999999995</v>
      </c>
      <c r="L236" s="375">
        <f t="shared" si="80"/>
        <v>19.500000000000004</v>
      </c>
      <c r="M236" s="375">
        <f t="shared" si="80"/>
        <v>7.6500000000000066</v>
      </c>
      <c r="N236" s="375">
        <f t="shared" si="80"/>
        <v>4.699999999999994</v>
      </c>
      <c r="O236" s="375">
        <f t="shared" si="80"/>
        <v>1.5000000000000013</v>
      </c>
      <c r="P236" s="375">
        <f t="shared" si="80"/>
        <v>0.3749999999999995</v>
      </c>
      <c r="Q236" s="375">
        <f t="shared" si="80"/>
        <v>0</v>
      </c>
      <c r="R236" s="375">
        <f t="shared" si="80"/>
        <v>0</v>
      </c>
      <c r="S236" s="375">
        <f t="shared" si="80"/>
        <v>0</v>
      </c>
      <c r="T236" s="375">
        <f t="shared" si="80"/>
        <v>0</v>
      </c>
      <c r="U236" s="375">
        <f t="shared" si="80"/>
        <v>0</v>
      </c>
      <c r="V236" s="375">
        <f t="shared" si="80"/>
        <v>0</v>
      </c>
      <c r="W236" s="375">
        <f t="shared" si="80"/>
        <v>0</v>
      </c>
      <c r="X236" s="375">
        <f t="shared" si="80"/>
        <v>0</v>
      </c>
      <c r="Y236" s="369"/>
    </row>
    <row r="237" spans="1:26" ht="12.9" thickBot="1" x14ac:dyDescent="0.35">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row>
    <row r="238" spans="1:26" ht="12.9" thickBot="1" x14ac:dyDescent="0.35">
      <c r="A238" s="361" t="s">
        <v>394</v>
      </c>
      <c r="B238" s="359">
        <f>ROW(A238)</f>
        <v>238</v>
      </c>
      <c r="C238" s="363" t="s">
        <v>115</v>
      </c>
      <c r="D238" s="353">
        <f>SUM(B241:Y241)</f>
        <v>158.04815100000002</v>
      </c>
      <c r="E238" s="363" t="s">
        <v>114</v>
      </c>
      <c r="F238" s="354">
        <v>198</v>
      </c>
      <c r="G238" s="363" t="s">
        <v>56</v>
      </c>
      <c r="H238" s="64">
        <v>0.19450000000000001</v>
      </c>
      <c r="I238" s="363" t="s">
        <v>273</v>
      </c>
      <c r="J238" s="355">
        <f>H238-L238</f>
        <v>8.9600000000000013E-2</v>
      </c>
      <c r="K238" s="363" t="s">
        <v>274</v>
      </c>
      <c r="L238" s="64">
        <v>0.10489999999999999</v>
      </c>
      <c r="M238" s="363" t="s">
        <v>57</v>
      </c>
      <c r="N238" s="65">
        <v>93</v>
      </c>
      <c r="O238" s="363" t="s">
        <v>59</v>
      </c>
      <c r="P238" s="65">
        <v>93</v>
      </c>
      <c r="Q238" s="363" t="s">
        <v>60</v>
      </c>
      <c r="R238" s="65">
        <v>187</v>
      </c>
      <c r="S238" s="363" t="s">
        <v>61</v>
      </c>
      <c r="T238" s="65">
        <v>29</v>
      </c>
      <c r="U238" s="363" t="s">
        <v>54</v>
      </c>
      <c r="V238" s="66" t="s">
        <v>119</v>
      </c>
      <c r="W238" s="463" t="s">
        <v>396</v>
      </c>
      <c r="X238" s="465">
        <v>1.27</v>
      </c>
      <c r="Y238" s="463" t="s">
        <v>395</v>
      </c>
      <c r="Z238" s="358">
        <v>14</v>
      </c>
    </row>
    <row r="239" spans="1:26" x14ac:dyDescent="0.3">
      <c r="A239" s="362" t="s">
        <v>33</v>
      </c>
      <c r="B239" s="471">
        <v>0</v>
      </c>
      <c r="C239" s="471">
        <v>4.0000000000000001E-3</v>
      </c>
      <c r="D239" s="471">
        <v>2.1999999999999999E-2</v>
      </c>
      <c r="E239" s="471">
        <v>3.9E-2</v>
      </c>
      <c r="F239" s="471">
        <v>0.122</v>
      </c>
      <c r="G239" s="471">
        <v>0.23599999999999999</v>
      </c>
      <c r="H239" s="471">
        <v>0.58899999999999997</v>
      </c>
      <c r="I239" s="471">
        <v>0.80100000000000005</v>
      </c>
      <c r="J239" s="471">
        <v>1.0680000000000001</v>
      </c>
      <c r="K239" s="471">
        <v>1.1180000000000001</v>
      </c>
      <c r="L239" s="471">
        <v>1.145</v>
      </c>
      <c r="M239" s="471">
        <v>1.1739999999999999</v>
      </c>
      <c r="N239" s="471">
        <v>1.2110000000000001</v>
      </c>
      <c r="O239" s="471">
        <v>1.2470000000000001</v>
      </c>
      <c r="P239" s="471">
        <v>1.2989999999999999</v>
      </c>
      <c r="Q239" s="371">
        <v>2</v>
      </c>
      <c r="R239" s="371">
        <v>2</v>
      </c>
      <c r="S239" s="371">
        <f t="shared" ref="S239:X240" si="81">R239</f>
        <v>2</v>
      </c>
      <c r="T239" s="371">
        <f t="shared" si="81"/>
        <v>2</v>
      </c>
      <c r="U239" s="371">
        <f t="shared" si="81"/>
        <v>2</v>
      </c>
      <c r="V239" s="371">
        <f t="shared" si="81"/>
        <v>2</v>
      </c>
      <c r="W239" s="371">
        <f t="shared" si="81"/>
        <v>2</v>
      </c>
      <c r="X239" s="371">
        <f t="shared" si="81"/>
        <v>2</v>
      </c>
      <c r="Y239" s="381">
        <v>1000</v>
      </c>
    </row>
    <row r="240" spans="1:26" x14ac:dyDescent="0.3">
      <c r="A240" s="378" t="s">
        <v>34</v>
      </c>
      <c r="B240" s="471">
        <v>0</v>
      </c>
      <c r="C240" s="471">
        <v>15.683</v>
      </c>
      <c r="D240" s="471">
        <v>170.834</v>
      </c>
      <c r="E240" s="471">
        <v>116.877</v>
      </c>
      <c r="F240" s="471">
        <v>142.642</v>
      </c>
      <c r="G240" s="471">
        <v>149.73699999999999</v>
      </c>
      <c r="H240" s="471">
        <v>142.642</v>
      </c>
      <c r="I240" s="471">
        <v>131.25299999999999</v>
      </c>
      <c r="J240" s="471">
        <v>122.104</v>
      </c>
      <c r="K240" s="471">
        <v>107.91500000000001</v>
      </c>
      <c r="L240" s="471">
        <v>78.415999999999997</v>
      </c>
      <c r="M240" s="471">
        <v>43.128999999999998</v>
      </c>
      <c r="N240" s="471">
        <v>21.471</v>
      </c>
      <c r="O240" s="471">
        <v>8.7750000000000004</v>
      </c>
      <c r="P240" s="471">
        <v>0</v>
      </c>
      <c r="Q240" s="373">
        <v>0</v>
      </c>
      <c r="R240" s="373">
        <v>0</v>
      </c>
      <c r="S240" s="373">
        <f t="shared" si="81"/>
        <v>0</v>
      </c>
      <c r="T240" s="373">
        <f t="shared" si="81"/>
        <v>0</v>
      </c>
      <c r="U240" s="373">
        <f t="shared" si="81"/>
        <v>0</v>
      </c>
      <c r="V240" s="373">
        <f t="shared" si="81"/>
        <v>0</v>
      </c>
      <c r="W240" s="373">
        <f t="shared" si="81"/>
        <v>0</v>
      </c>
      <c r="X240" s="373">
        <f t="shared" si="81"/>
        <v>0</v>
      </c>
      <c r="Y240" s="382">
        <v>0</v>
      </c>
    </row>
    <row r="241" spans="1:26" ht="12.9" thickBot="1" x14ac:dyDescent="0.35">
      <c r="A241" s="379" t="s">
        <v>116</v>
      </c>
      <c r="B241" s="374">
        <f t="shared" ref="B241:X241" si="82">(C240+B240)*(C239-B239)/2</f>
        <v>3.1365999999999998E-2</v>
      </c>
      <c r="C241" s="375">
        <f t="shared" si="82"/>
        <v>1.6786529999999997</v>
      </c>
      <c r="D241" s="375">
        <f t="shared" si="82"/>
        <v>2.4455435000000003</v>
      </c>
      <c r="E241" s="375">
        <f t="shared" si="82"/>
        <v>10.770038499999998</v>
      </c>
      <c r="F241" s="375">
        <f t="shared" si="82"/>
        <v>16.665603000000001</v>
      </c>
      <c r="G241" s="375">
        <f t="shared" si="82"/>
        <v>51.604893500000003</v>
      </c>
      <c r="H241" s="375">
        <f t="shared" si="82"/>
        <v>29.03287000000001</v>
      </c>
      <c r="I241" s="375">
        <f t="shared" si="82"/>
        <v>33.823159499999996</v>
      </c>
      <c r="J241" s="375">
        <f t="shared" si="82"/>
        <v>5.7504750000000051</v>
      </c>
      <c r="K241" s="375">
        <f t="shared" si="82"/>
        <v>2.5154684999999923</v>
      </c>
      <c r="L241" s="375">
        <f t="shared" si="82"/>
        <v>1.7624024999999945</v>
      </c>
      <c r="M241" s="375">
        <f t="shared" si="82"/>
        <v>1.1951000000000045</v>
      </c>
      <c r="N241" s="375">
        <f t="shared" si="82"/>
        <v>0.54442800000000058</v>
      </c>
      <c r="O241" s="375">
        <f t="shared" si="82"/>
        <v>0.22814999999999924</v>
      </c>
      <c r="P241" s="375">
        <f t="shared" si="82"/>
        <v>0</v>
      </c>
      <c r="Q241" s="375">
        <f t="shared" si="82"/>
        <v>0</v>
      </c>
      <c r="R241" s="375">
        <f t="shared" si="82"/>
        <v>0</v>
      </c>
      <c r="S241" s="375">
        <f t="shared" si="82"/>
        <v>0</v>
      </c>
      <c r="T241" s="375">
        <f t="shared" si="82"/>
        <v>0</v>
      </c>
      <c r="U241" s="375">
        <f t="shared" si="82"/>
        <v>0</v>
      </c>
      <c r="V241" s="375">
        <f t="shared" si="82"/>
        <v>0</v>
      </c>
      <c r="W241" s="375">
        <f t="shared" si="82"/>
        <v>0</v>
      </c>
      <c r="X241" s="375">
        <f t="shared" si="82"/>
        <v>0</v>
      </c>
      <c r="Y241" s="369"/>
    </row>
    <row r="242" spans="1:26" ht="12.9" thickBot="1" x14ac:dyDescent="0.35">
      <c r="A242" s="6" t="s">
        <v>376</v>
      </c>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row>
    <row r="243" spans="1:26" ht="12.9" thickBot="1" x14ac:dyDescent="0.35">
      <c r="A243" s="361" t="s">
        <v>381</v>
      </c>
      <c r="B243" s="359">
        <f>ROW(A243)</f>
        <v>243</v>
      </c>
      <c r="C243" s="363" t="s">
        <v>115</v>
      </c>
      <c r="D243" s="353">
        <f>SUM(B246:Y246)</f>
        <v>136.75235000000001</v>
      </c>
      <c r="E243" s="363" t="s">
        <v>114</v>
      </c>
      <c r="F243" s="354">
        <f>D243/g/J243</f>
        <v>152.35078513616639</v>
      </c>
      <c r="G243" s="363" t="s">
        <v>56</v>
      </c>
      <c r="H243" s="64">
        <v>0.21249999999999999</v>
      </c>
      <c r="I243" s="363" t="s">
        <v>273</v>
      </c>
      <c r="J243" s="355">
        <f>H243-L243</f>
        <v>9.1499999999999998E-2</v>
      </c>
      <c r="K243" s="363" t="s">
        <v>274</v>
      </c>
      <c r="L243" s="64">
        <v>0.121</v>
      </c>
      <c r="M243" s="363" t="s">
        <v>57</v>
      </c>
      <c r="N243" s="65">
        <v>63</v>
      </c>
      <c r="O243" s="363" t="s">
        <v>59</v>
      </c>
      <c r="P243" s="65">
        <v>114</v>
      </c>
      <c r="Q243" s="363" t="s">
        <v>60</v>
      </c>
      <c r="R243" s="65">
        <v>127</v>
      </c>
      <c r="S243" s="363" t="s">
        <v>61</v>
      </c>
      <c r="T243" s="65">
        <v>38</v>
      </c>
      <c r="U243" s="363" t="s">
        <v>54</v>
      </c>
      <c r="V243" s="66" t="s">
        <v>119</v>
      </c>
      <c r="W243" s="463" t="s">
        <v>396</v>
      </c>
      <c r="X243" s="465">
        <v>2.36</v>
      </c>
      <c r="Y243" s="463" t="s">
        <v>395</v>
      </c>
      <c r="Z243" s="358">
        <v>13</v>
      </c>
    </row>
    <row r="244" spans="1:26" x14ac:dyDescent="0.3">
      <c r="A244" s="362" t="s">
        <v>33</v>
      </c>
      <c r="B244" s="370">
        <v>0</v>
      </c>
      <c r="C244" s="371">
        <v>2.9000000000000001E-2</v>
      </c>
      <c r="D244" s="371">
        <v>4.5999999999999999E-2</v>
      </c>
      <c r="E244" s="371">
        <v>5.8000000000000003E-2</v>
      </c>
      <c r="F244" s="371">
        <v>8.4000000000000005E-2</v>
      </c>
      <c r="G244" s="371">
        <v>0.17100000000000001</v>
      </c>
      <c r="H244" s="371">
        <v>0.28000000000000003</v>
      </c>
      <c r="I244" s="371">
        <v>0.45500000000000002</v>
      </c>
      <c r="J244" s="371">
        <v>0.58599999999999997</v>
      </c>
      <c r="K244" s="371">
        <v>0.74099999999999999</v>
      </c>
      <c r="L244" s="371">
        <v>0.95199999999999996</v>
      </c>
      <c r="M244" s="371">
        <v>1.2170000000000001</v>
      </c>
      <c r="N244" s="371">
        <v>1.43</v>
      </c>
      <c r="O244" s="371">
        <v>1.6259999999999999</v>
      </c>
      <c r="P244" s="371">
        <v>1.8069999999999999</v>
      </c>
      <c r="Q244" s="371">
        <v>1.9590000000000001</v>
      </c>
      <c r="R244" s="371">
        <v>2.1040000000000001</v>
      </c>
      <c r="S244" s="371">
        <v>2.1680000000000001</v>
      </c>
      <c r="T244" s="371">
        <v>2.21</v>
      </c>
      <c r="U244" s="371">
        <v>2.2469999999999999</v>
      </c>
      <c r="V244" s="371">
        <v>2.3290000000000002</v>
      </c>
      <c r="W244" s="371">
        <f>2.4</f>
        <v>2.4</v>
      </c>
      <c r="X244" s="371">
        <f>W244</f>
        <v>2.4</v>
      </c>
      <c r="Y244" s="381">
        <v>1000</v>
      </c>
    </row>
    <row r="245" spans="1:26" x14ac:dyDescent="0.3">
      <c r="A245" s="378" t="s">
        <v>34</v>
      </c>
      <c r="B245" s="372">
        <v>0</v>
      </c>
      <c r="C245" s="373">
        <v>90.25</v>
      </c>
      <c r="D245" s="373">
        <v>69.17</v>
      </c>
      <c r="E245" s="373">
        <v>59.947000000000003</v>
      </c>
      <c r="F245" s="373">
        <v>47.167000000000002</v>
      </c>
      <c r="G245" s="373">
        <v>57.970999999999997</v>
      </c>
      <c r="H245" s="373">
        <v>59.552</v>
      </c>
      <c r="I245" s="373">
        <v>61.265000000000001</v>
      </c>
      <c r="J245" s="373">
        <v>61.66</v>
      </c>
      <c r="K245" s="373">
        <v>62.319000000000003</v>
      </c>
      <c r="L245" s="373">
        <v>63.768000000000001</v>
      </c>
      <c r="M245" s="373">
        <v>64.69</v>
      </c>
      <c r="N245" s="373">
        <v>63.768000000000001</v>
      </c>
      <c r="O245" s="373">
        <v>61.265000000000001</v>
      </c>
      <c r="P245" s="373">
        <v>58.103000000000002</v>
      </c>
      <c r="Q245" s="373">
        <v>53.887</v>
      </c>
      <c r="R245" s="373">
        <v>48.353000000000002</v>
      </c>
      <c r="S245" s="373">
        <v>47.563000000000002</v>
      </c>
      <c r="T245" s="373">
        <v>44.005000000000003</v>
      </c>
      <c r="U245" s="373">
        <v>37.286000000000001</v>
      </c>
      <c r="V245" s="373">
        <v>22.265999999999998</v>
      </c>
      <c r="W245" s="373">
        <v>0</v>
      </c>
      <c r="X245" s="373">
        <f>W245</f>
        <v>0</v>
      </c>
      <c r="Y245" s="382">
        <v>0</v>
      </c>
    </row>
    <row r="246" spans="1:26" ht="12.9" thickBot="1" x14ac:dyDescent="0.35">
      <c r="A246" s="379" t="s">
        <v>116</v>
      </c>
      <c r="B246" s="374">
        <f t="shared" ref="B246:X246" si="83">(C245+B245)*(C244-B244)/2</f>
        <v>1.3086250000000001</v>
      </c>
      <c r="C246" s="375">
        <f t="shared" si="83"/>
        <v>1.35507</v>
      </c>
      <c r="D246" s="375">
        <f t="shared" si="83"/>
        <v>0.77470200000000033</v>
      </c>
      <c r="E246" s="375">
        <f t="shared" si="83"/>
        <v>1.3924820000000002</v>
      </c>
      <c r="F246" s="375">
        <f t="shared" si="83"/>
        <v>4.5735030000000005</v>
      </c>
      <c r="G246" s="375">
        <f t="shared" si="83"/>
        <v>6.4050035000000003</v>
      </c>
      <c r="H246" s="375">
        <f t="shared" si="83"/>
        <v>10.5714875</v>
      </c>
      <c r="I246" s="375">
        <f t="shared" si="83"/>
        <v>8.0515874999999966</v>
      </c>
      <c r="J246" s="375">
        <f t="shared" si="83"/>
        <v>9.6083725000000015</v>
      </c>
      <c r="K246" s="375">
        <f t="shared" si="83"/>
        <v>13.302178499999998</v>
      </c>
      <c r="L246" s="375">
        <f t="shared" si="83"/>
        <v>17.020685000000007</v>
      </c>
      <c r="M246" s="375">
        <f t="shared" si="83"/>
        <v>13.68077699999999</v>
      </c>
      <c r="N246" s="375">
        <f t="shared" si="83"/>
        <v>12.253233999999997</v>
      </c>
      <c r="O246" s="375">
        <f t="shared" si="83"/>
        <v>10.802804000000002</v>
      </c>
      <c r="P246" s="375">
        <f t="shared" si="83"/>
        <v>8.5112400000000079</v>
      </c>
      <c r="Q246" s="375">
        <f t="shared" si="83"/>
        <v>7.4124000000000017</v>
      </c>
      <c r="R246" s="375">
        <f t="shared" si="83"/>
        <v>3.0693120000000027</v>
      </c>
      <c r="S246" s="375">
        <f t="shared" si="83"/>
        <v>1.9229279999999918</v>
      </c>
      <c r="T246" s="375">
        <f t="shared" si="83"/>
        <v>1.5038834999999968</v>
      </c>
      <c r="U246" s="375">
        <f t="shared" si="83"/>
        <v>2.4416320000000087</v>
      </c>
      <c r="V246" s="375">
        <f t="shared" si="83"/>
        <v>0.7904429999999969</v>
      </c>
      <c r="W246" s="375">
        <f t="shared" si="83"/>
        <v>0</v>
      </c>
      <c r="X246" s="375">
        <f t="shared" si="83"/>
        <v>0</v>
      </c>
      <c r="Y246" s="369"/>
    </row>
    <row r="247" spans="1:26" ht="12.9" thickBot="1" x14ac:dyDescent="0.35">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row>
    <row r="248" spans="1:26" ht="12.9" thickBot="1" x14ac:dyDescent="0.35">
      <c r="A248" s="361" t="s">
        <v>382</v>
      </c>
      <c r="B248" s="359">
        <f>ROW(A248)</f>
        <v>248</v>
      </c>
      <c r="C248" s="363" t="s">
        <v>115</v>
      </c>
      <c r="D248" s="353">
        <f>SUM(B251:Y251)</f>
        <v>127.06944999999999</v>
      </c>
      <c r="E248" s="363" t="s">
        <v>114</v>
      </c>
      <c r="F248" s="354">
        <f>D248/g/J248</f>
        <v>180.65624835614466</v>
      </c>
      <c r="G248" s="363" t="s">
        <v>56</v>
      </c>
      <c r="H248" s="64">
        <v>0.18840000000000001</v>
      </c>
      <c r="I248" s="363" t="s">
        <v>273</v>
      </c>
      <c r="J248" s="355">
        <f>H248-L248</f>
        <v>7.1700000000000014E-2</v>
      </c>
      <c r="K248" s="363" t="s">
        <v>274</v>
      </c>
      <c r="L248" s="64">
        <v>0.1167</v>
      </c>
      <c r="M248" s="363" t="s">
        <v>57</v>
      </c>
      <c r="N248" s="65">
        <v>63</v>
      </c>
      <c r="O248" s="363" t="s">
        <v>59</v>
      </c>
      <c r="P248" s="65">
        <v>114</v>
      </c>
      <c r="Q248" s="363" t="s">
        <v>60</v>
      </c>
      <c r="R248" s="65">
        <v>127</v>
      </c>
      <c r="S248" s="363" t="s">
        <v>61</v>
      </c>
      <c r="T248" s="65">
        <v>38</v>
      </c>
      <c r="U248" s="363" t="s">
        <v>54</v>
      </c>
      <c r="V248" s="66" t="s">
        <v>119</v>
      </c>
      <c r="W248" s="463" t="s">
        <v>396</v>
      </c>
      <c r="X248" s="465">
        <v>0.69</v>
      </c>
      <c r="Y248" s="463" t="s">
        <v>395</v>
      </c>
      <c r="Z248" s="358">
        <v>12</v>
      </c>
    </row>
    <row r="249" spans="1:26" x14ac:dyDescent="0.3">
      <c r="A249" s="362" t="s">
        <v>33</v>
      </c>
      <c r="B249" s="370">
        <v>0</v>
      </c>
      <c r="C249" s="371">
        <v>0.01</v>
      </c>
      <c r="D249" s="371">
        <v>0.02</v>
      </c>
      <c r="E249" s="371">
        <v>0.05</v>
      </c>
      <c r="F249" s="371">
        <v>0.1</v>
      </c>
      <c r="G249" s="371">
        <v>0.2</v>
      </c>
      <c r="H249" s="371">
        <v>0.3</v>
      </c>
      <c r="I249" s="371">
        <v>0.35</v>
      </c>
      <c r="J249" s="371">
        <v>0.4</v>
      </c>
      <c r="K249" s="371">
        <v>0.45</v>
      </c>
      <c r="L249" s="371">
        <v>0.5</v>
      </c>
      <c r="M249" s="371">
        <v>0.55000000000000004</v>
      </c>
      <c r="N249" s="371">
        <v>0.6</v>
      </c>
      <c r="O249" s="371">
        <v>0.61</v>
      </c>
      <c r="P249" s="371">
        <v>0.63</v>
      </c>
      <c r="Q249" s="371">
        <v>0.64</v>
      </c>
      <c r="R249" s="371">
        <v>0.65</v>
      </c>
      <c r="S249" s="371">
        <v>0.67</v>
      </c>
      <c r="T249" s="371">
        <v>0.68</v>
      </c>
      <c r="U249" s="371">
        <v>0.69</v>
      </c>
      <c r="V249" s="371">
        <f t="shared" ref="V249:X250" si="84">U249</f>
        <v>0.69</v>
      </c>
      <c r="W249" s="371">
        <f t="shared" si="84"/>
        <v>0.69</v>
      </c>
      <c r="X249" s="371">
        <v>2</v>
      </c>
      <c r="Y249" s="381">
        <v>1000</v>
      </c>
    </row>
    <row r="250" spans="1:26" x14ac:dyDescent="0.3">
      <c r="A250" s="378" t="s">
        <v>34</v>
      </c>
      <c r="B250" s="372">
        <v>0</v>
      </c>
      <c r="C250" s="373">
        <v>108.72</v>
      </c>
      <c r="D250" s="373">
        <v>131.19</v>
      </c>
      <c r="E250" s="373">
        <v>153.13999999999999</v>
      </c>
      <c r="F250" s="373">
        <v>168.97</v>
      </c>
      <c r="G250" s="373">
        <v>189.92</v>
      </c>
      <c r="H250" s="373">
        <v>199.95</v>
      </c>
      <c r="I250" s="373">
        <v>203.59</v>
      </c>
      <c r="J250" s="373">
        <v>205.03</v>
      </c>
      <c r="K250" s="373">
        <v>202.6</v>
      </c>
      <c r="L250" s="373">
        <v>203.06</v>
      </c>
      <c r="M250" s="373">
        <v>199.34</v>
      </c>
      <c r="N250" s="373">
        <v>194.71</v>
      </c>
      <c r="O250" s="373">
        <v>194.1</v>
      </c>
      <c r="P250" s="373">
        <v>193.49</v>
      </c>
      <c r="Q250" s="373">
        <v>193.68</v>
      </c>
      <c r="R250" s="373">
        <v>202.91</v>
      </c>
      <c r="S250" s="373">
        <v>163.38999999999999</v>
      </c>
      <c r="T250" s="373">
        <v>80.44</v>
      </c>
      <c r="U250" s="373">
        <v>0</v>
      </c>
      <c r="V250" s="373">
        <f t="shared" si="84"/>
        <v>0</v>
      </c>
      <c r="W250" s="373">
        <f t="shared" si="84"/>
        <v>0</v>
      </c>
      <c r="X250" s="373">
        <f t="shared" si="84"/>
        <v>0</v>
      </c>
      <c r="Y250" s="382">
        <v>0</v>
      </c>
    </row>
    <row r="251" spans="1:26" ht="12.9" thickBot="1" x14ac:dyDescent="0.35">
      <c r="A251" s="379" t="s">
        <v>116</v>
      </c>
      <c r="B251" s="374">
        <f t="shared" ref="B251:X251" si="85">(C250+B250)*(C249-B249)/2</f>
        <v>0.54359999999999997</v>
      </c>
      <c r="C251" s="375">
        <f t="shared" si="85"/>
        <v>1.1995500000000001</v>
      </c>
      <c r="D251" s="375">
        <f t="shared" si="85"/>
        <v>4.2649499999999998</v>
      </c>
      <c r="E251" s="375">
        <f t="shared" si="85"/>
        <v>8.0527500000000014</v>
      </c>
      <c r="F251" s="375">
        <f t="shared" si="85"/>
        <v>17.944500000000001</v>
      </c>
      <c r="G251" s="375">
        <f t="shared" si="85"/>
        <v>19.493499999999997</v>
      </c>
      <c r="H251" s="375">
        <f t="shared" si="85"/>
        <v>10.088499999999996</v>
      </c>
      <c r="I251" s="375">
        <f t="shared" si="85"/>
        <v>10.215500000000009</v>
      </c>
      <c r="J251" s="375">
        <f t="shared" si="85"/>
        <v>10.190749999999998</v>
      </c>
      <c r="K251" s="375">
        <f t="shared" si="85"/>
        <v>10.141499999999997</v>
      </c>
      <c r="L251" s="375">
        <f t="shared" si="85"/>
        <v>10.060000000000008</v>
      </c>
      <c r="M251" s="375">
        <f t="shared" si="85"/>
        <v>9.8512499999999878</v>
      </c>
      <c r="N251" s="375">
        <f t="shared" si="85"/>
        <v>1.9440500000000018</v>
      </c>
      <c r="O251" s="375">
        <f t="shared" si="85"/>
        <v>3.8759000000000037</v>
      </c>
      <c r="P251" s="375">
        <f t="shared" si="85"/>
        <v>1.9358500000000018</v>
      </c>
      <c r="Q251" s="375">
        <f t="shared" si="85"/>
        <v>1.982950000000002</v>
      </c>
      <c r="R251" s="375">
        <f t="shared" si="85"/>
        <v>3.6630000000000029</v>
      </c>
      <c r="S251" s="375">
        <f t="shared" si="85"/>
        <v>1.2191500000000011</v>
      </c>
      <c r="T251" s="375">
        <f t="shared" si="85"/>
        <v>0.40219999999999589</v>
      </c>
      <c r="U251" s="375">
        <f t="shared" si="85"/>
        <v>0</v>
      </c>
      <c r="V251" s="375">
        <f t="shared" si="85"/>
        <v>0</v>
      </c>
      <c r="W251" s="375">
        <f t="shared" si="85"/>
        <v>0</v>
      </c>
      <c r="X251" s="375">
        <f t="shared" si="85"/>
        <v>0</v>
      </c>
      <c r="Y251" s="369"/>
    </row>
    <row r="252" spans="1:26" ht="12.9" thickBot="1" x14ac:dyDescent="0.35">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row>
    <row r="253" spans="1:26" ht="12.9" thickBot="1" x14ac:dyDescent="0.35">
      <c r="A253" s="361" t="s">
        <v>390</v>
      </c>
      <c r="B253" s="359">
        <f>ROW(A253)</f>
        <v>253</v>
      </c>
      <c r="C253" s="363" t="s">
        <v>115</v>
      </c>
      <c r="D253" s="353">
        <f>SUM(B256:Y256)</f>
        <v>142.7236025</v>
      </c>
      <c r="E253" s="363" t="s">
        <v>114</v>
      </c>
      <c r="F253" s="354">
        <v>208</v>
      </c>
      <c r="G253" s="363" t="s">
        <v>56</v>
      </c>
      <c r="H253" s="64">
        <v>0.19700000000000001</v>
      </c>
      <c r="I253" s="363" t="s">
        <v>273</v>
      </c>
      <c r="J253" s="355">
        <f>H253-L253</f>
        <v>7.0000000000000007E-2</v>
      </c>
      <c r="K253" s="363" t="s">
        <v>274</v>
      </c>
      <c r="L253" s="64">
        <v>0.127</v>
      </c>
      <c r="M253" s="363" t="s">
        <v>57</v>
      </c>
      <c r="N253" s="65">
        <v>63</v>
      </c>
      <c r="O253" s="363" t="s">
        <v>59</v>
      </c>
      <c r="P253" s="65">
        <v>114</v>
      </c>
      <c r="Q253" s="363" t="s">
        <v>60</v>
      </c>
      <c r="R253" s="65">
        <v>127</v>
      </c>
      <c r="S253" s="363" t="s">
        <v>61</v>
      </c>
      <c r="T253" s="65">
        <v>38</v>
      </c>
      <c r="U253" s="363" t="s">
        <v>54</v>
      </c>
      <c r="V253" s="66" t="s">
        <v>119</v>
      </c>
      <c r="W253" s="463" t="s">
        <v>396</v>
      </c>
      <c r="X253" s="465">
        <v>1.8</v>
      </c>
      <c r="Y253" s="463" t="s">
        <v>395</v>
      </c>
      <c r="Z253" s="358">
        <v>15</v>
      </c>
    </row>
    <row r="254" spans="1:26" x14ac:dyDescent="0.3">
      <c r="A254" s="362" t="s">
        <v>33</v>
      </c>
      <c r="B254" s="370">
        <v>0</v>
      </c>
      <c r="C254" s="370">
        <v>6.0000000000000001E-3</v>
      </c>
      <c r="D254" s="371">
        <v>1.7999999999999999E-2</v>
      </c>
      <c r="E254" s="371">
        <v>3.5999999999999997E-2</v>
      </c>
      <c r="F254" s="371">
        <v>4.7E-2</v>
      </c>
      <c r="G254" s="371">
        <v>8.4000000000000005E-2</v>
      </c>
      <c r="H254" s="371">
        <v>0.13500000000000001</v>
      </c>
      <c r="I254" s="371">
        <v>0.23799999999999999</v>
      </c>
      <c r="J254" s="371">
        <v>0.438</v>
      </c>
      <c r="K254" s="371">
        <v>0.63</v>
      </c>
      <c r="L254" s="371">
        <v>0.85899999999999999</v>
      </c>
      <c r="M254" s="371">
        <v>1.2829999999999999</v>
      </c>
      <c r="N254" s="371">
        <v>1.4470000000000001</v>
      </c>
      <c r="O254" s="371">
        <v>1.643</v>
      </c>
      <c r="P254" s="371">
        <v>1.7130000000000001</v>
      </c>
      <c r="Q254" s="371">
        <v>1.7430000000000001</v>
      </c>
      <c r="R254" s="371">
        <v>1.79</v>
      </c>
      <c r="S254" s="371">
        <v>1.8180000000000001</v>
      </c>
      <c r="T254" s="371">
        <v>1.8520000000000001</v>
      </c>
      <c r="U254" s="371">
        <v>2</v>
      </c>
      <c r="V254" s="371">
        <f t="shared" ref="V254:X255" si="86">U254</f>
        <v>2</v>
      </c>
      <c r="W254" s="371">
        <f t="shared" si="86"/>
        <v>2</v>
      </c>
      <c r="X254" s="371">
        <f t="shared" si="86"/>
        <v>2</v>
      </c>
      <c r="Y254" s="381">
        <v>1000</v>
      </c>
    </row>
    <row r="255" spans="1:26" x14ac:dyDescent="0.3">
      <c r="A255" s="378" t="s">
        <v>34</v>
      </c>
      <c r="B255" s="372">
        <v>0</v>
      </c>
      <c r="C255" s="372">
        <v>104.068</v>
      </c>
      <c r="D255" s="373">
        <v>137.928</v>
      </c>
      <c r="E255" s="373">
        <v>70.706999999999994</v>
      </c>
      <c r="F255" s="373">
        <v>62.241999999999997</v>
      </c>
      <c r="G255" s="373">
        <v>73.694000000000003</v>
      </c>
      <c r="H255" s="373">
        <v>78.176000000000002</v>
      </c>
      <c r="I255" s="373">
        <v>84.150999999999996</v>
      </c>
      <c r="J255" s="373">
        <v>89.628</v>
      </c>
      <c r="K255" s="373">
        <v>88.135000000000005</v>
      </c>
      <c r="L255" s="373">
        <v>87.138999999999996</v>
      </c>
      <c r="M255" s="373">
        <v>77.180000000000007</v>
      </c>
      <c r="N255" s="373">
        <v>70.706999999999994</v>
      </c>
      <c r="O255" s="373">
        <v>67.718999999999994</v>
      </c>
      <c r="P255" s="373">
        <v>64.233999999999995</v>
      </c>
      <c r="Q255" s="373">
        <v>54.274999999999999</v>
      </c>
      <c r="R255" s="373">
        <v>18.423999999999999</v>
      </c>
      <c r="S255" s="373">
        <v>6.4729999999999999</v>
      </c>
      <c r="T255" s="373">
        <v>0</v>
      </c>
      <c r="U255" s="373">
        <v>0</v>
      </c>
      <c r="V255" s="373">
        <f t="shared" si="86"/>
        <v>0</v>
      </c>
      <c r="W255" s="373">
        <f t="shared" si="86"/>
        <v>0</v>
      </c>
      <c r="X255" s="373">
        <f t="shared" si="86"/>
        <v>0</v>
      </c>
      <c r="Y255" s="382">
        <v>0</v>
      </c>
    </row>
    <row r="256" spans="1:26" ht="12.9" thickBot="1" x14ac:dyDescent="0.35">
      <c r="A256" s="379" t="s">
        <v>116</v>
      </c>
      <c r="B256" s="374">
        <f t="shared" ref="B256:X256" si="87">(C255+B255)*(C254-B254)/2</f>
        <v>0.31220399999999998</v>
      </c>
      <c r="C256" s="375">
        <f t="shared" si="87"/>
        <v>1.4519759999999997</v>
      </c>
      <c r="D256" s="375">
        <f t="shared" si="87"/>
        <v>1.8777149999999998</v>
      </c>
      <c r="E256" s="375">
        <f t="shared" si="87"/>
        <v>0.73121950000000013</v>
      </c>
      <c r="F256" s="375">
        <f t="shared" si="87"/>
        <v>2.5148160000000006</v>
      </c>
      <c r="G256" s="375">
        <f t="shared" si="87"/>
        <v>3.8726850000000006</v>
      </c>
      <c r="H256" s="375">
        <f t="shared" si="87"/>
        <v>8.3598404999999989</v>
      </c>
      <c r="I256" s="375">
        <f t="shared" si="87"/>
        <v>17.3779</v>
      </c>
      <c r="J256" s="375">
        <f t="shared" si="87"/>
        <v>17.065248</v>
      </c>
      <c r="K256" s="375">
        <f t="shared" si="87"/>
        <v>20.068873</v>
      </c>
      <c r="L256" s="375">
        <f t="shared" si="87"/>
        <v>34.835628</v>
      </c>
      <c r="M256" s="375">
        <f t="shared" si="87"/>
        <v>12.126734000000011</v>
      </c>
      <c r="N256" s="375">
        <f t="shared" si="87"/>
        <v>13.565747999999996</v>
      </c>
      <c r="O256" s="375">
        <f t="shared" si="87"/>
        <v>4.6183550000000029</v>
      </c>
      <c r="P256" s="375">
        <f t="shared" si="87"/>
        <v>1.7776350000000014</v>
      </c>
      <c r="Q256" s="375">
        <f t="shared" si="87"/>
        <v>1.7084264999999974</v>
      </c>
      <c r="R256" s="375">
        <f t="shared" si="87"/>
        <v>0.34855800000000031</v>
      </c>
      <c r="S256" s="375">
        <f t="shared" si="87"/>
        <v>0.1100410000000001</v>
      </c>
      <c r="T256" s="375">
        <f t="shared" si="87"/>
        <v>0</v>
      </c>
      <c r="U256" s="375">
        <f t="shared" si="87"/>
        <v>0</v>
      </c>
      <c r="V256" s="375">
        <f t="shared" si="87"/>
        <v>0</v>
      </c>
      <c r="W256" s="375">
        <f t="shared" si="87"/>
        <v>0</v>
      </c>
      <c r="X256" s="375">
        <f t="shared" si="87"/>
        <v>0</v>
      </c>
      <c r="Y256" s="369"/>
    </row>
    <row r="257" spans="1:25" ht="12.9" thickBot="1" x14ac:dyDescent="0.35">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row>
    <row r="258" spans="1:25" ht="12.9" thickBot="1" x14ac:dyDescent="0.35">
      <c r="A258" s="361" t="s">
        <v>276</v>
      </c>
      <c r="B258" s="360">
        <f>ROW(A258)</f>
        <v>258</v>
      </c>
      <c r="C258" s="363" t="s">
        <v>115</v>
      </c>
      <c r="D258" s="353">
        <f>SUM(B261:Y261)</f>
        <v>33.500000000000007</v>
      </c>
      <c r="E258" s="363" t="s">
        <v>114</v>
      </c>
      <c r="F258" s="354">
        <f>D258/g/J258</f>
        <v>68.297655453618759</v>
      </c>
      <c r="G258" s="363" t="s">
        <v>56</v>
      </c>
      <c r="H258" s="64">
        <v>8.5000000000000006E-2</v>
      </c>
      <c r="I258" s="363" t="s">
        <v>273</v>
      </c>
      <c r="J258" s="355">
        <f>H258-L258</f>
        <v>0.05</v>
      </c>
      <c r="K258" s="363" t="s">
        <v>274</v>
      </c>
      <c r="L258" s="64">
        <v>3.5000000000000003E-2</v>
      </c>
      <c r="M258" s="363" t="s">
        <v>57</v>
      </c>
      <c r="N258" s="65">
        <v>20</v>
      </c>
      <c r="O258" s="363" t="s">
        <v>59</v>
      </c>
      <c r="P258" s="65">
        <v>20</v>
      </c>
      <c r="Q258" s="363" t="s">
        <v>60</v>
      </c>
      <c r="R258" s="65">
        <v>39</v>
      </c>
      <c r="S258" s="363" t="s">
        <v>61</v>
      </c>
      <c r="T258" s="65">
        <v>39</v>
      </c>
      <c r="U258" s="363" t="s">
        <v>54</v>
      </c>
      <c r="V258" s="66" t="s">
        <v>403</v>
      </c>
      <c r="W258" s="12"/>
      <c r="X258" s="12"/>
      <c r="Y258" s="12"/>
    </row>
    <row r="259" spans="1:25" x14ac:dyDescent="0.3">
      <c r="A259" s="362" t="s">
        <v>33</v>
      </c>
      <c r="B259" s="370">
        <v>0</v>
      </c>
      <c r="C259" s="371">
        <v>0.05</v>
      </c>
      <c r="D259" s="371">
        <v>0.1</v>
      </c>
      <c r="E259" s="371">
        <v>0.25</v>
      </c>
      <c r="F259" s="371">
        <v>0.3</v>
      </c>
      <c r="G259" s="371">
        <v>0.35</v>
      </c>
      <c r="H259" s="371">
        <v>0.45</v>
      </c>
      <c r="I259" s="371">
        <v>0.55000000000000004</v>
      </c>
      <c r="J259" s="371">
        <v>3.5</v>
      </c>
      <c r="K259" s="371">
        <v>3.6</v>
      </c>
      <c r="L259" s="371">
        <v>3.6</v>
      </c>
      <c r="M259" s="371">
        <v>3.6</v>
      </c>
      <c r="N259" s="371">
        <v>3.6</v>
      </c>
      <c r="O259" s="371">
        <v>3.6</v>
      </c>
      <c r="P259" s="371">
        <v>3.6</v>
      </c>
      <c r="Q259" s="371">
        <v>3.6</v>
      </c>
      <c r="R259" s="371">
        <v>3.6</v>
      </c>
      <c r="S259" s="371">
        <v>3.6</v>
      </c>
      <c r="T259" s="371">
        <v>3.6</v>
      </c>
      <c r="U259" s="371">
        <v>3.6</v>
      </c>
      <c r="V259" s="371">
        <v>3.6</v>
      </c>
      <c r="W259" s="371">
        <v>3.6</v>
      </c>
      <c r="X259" s="371">
        <v>3.6</v>
      </c>
      <c r="Y259" s="381">
        <v>1000</v>
      </c>
    </row>
    <row r="260" spans="1:25" x14ac:dyDescent="0.3">
      <c r="A260" s="378" t="s">
        <v>34</v>
      </c>
      <c r="B260" s="372">
        <v>0</v>
      </c>
      <c r="C260" s="373">
        <v>68</v>
      </c>
      <c r="D260" s="373">
        <v>62</v>
      </c>
      <c r="E260" s="373">
        <v>60</v>
      </c>
      <c r="F260" s="373">
        <v>39</v>
      </c>
      <c r="G260" s="373">
        <v>38</v>
      </c>
      <c r="H260" s="373">
        <v>9</v>
      </c>
      <c r="I260" s="373">
        <v>5</v>
      </c>
      <c r="J260" s="373">
        <v>3</v>
      </c>
      <c r="K260" s="373">
        <v>0</v>
      </c>
      <c r="L260" s="373">
        <v>0</v>
      </c>
      <c r="M260" s="373">
        <v>0</v>
      </c>
      <c r="N260" s="373">
        <v>0</v>
      </c>
      <c r="O260" s="373">
        <v>0</v>
      </c>
      <c r="P260" s="373">
        <v>0</v>
      </c>
      <c r="Q260" s="373">
        <v>0</v>
      </c>
      <c r="R260" s="373">
        <v>0</v>
      </c>
      <c r="S260" s="373">
        <v>0</v>
      </c>
      <c r="T260" s="373">
        <v>0</v>
      </c>
      <c r="U260" s="373">
        <v>0</v>
      </c>
      <c r="V260" s="373">
        <v>0</v>
      </c>
      <c r="W260" s="373">
        <v>0</v>
      </c>
      <c r="X260" s="373">
        <v>0</v>
      </c>
      <c r="Y260" s="382">
        <v>0</v>
      </c>
    </row>
    <row r="261" spans="1:25" ht="12.9" thickBot="1" x14ac:dyDescent="0.35">
      <c r="A261" s="379" t="s">
        <v>116</v>
      </c>
      <c r="B261" s="374">
        <f t="shared" ref="B261:V261" si="88">(C260+B260)*(C259-B259)/2</f>
        <v>1.7000000000000002</v>
      </c>
      <c r="C261" s="375">
        <f t="shared" si="88"/>
        <v>3.25</v>
      </c>
      <c r="D261" s="375">
        <f t="shared" si="88"/>
        <v>9.15</v>
      </c>
      <c r="E261" s="375">
        <f t="shared" si="88"/>
        <v>2.4749999999999996</v>
      </c>
      <c r="F261" s="375">
        <f t="shared" si="88"/>
        <v>1.9249999999999996</v>
      </c>
      <c r="G261" s="375">
        <f t="shared" si="88"/>
        <v>2.350000000000001</v>
      </c>
      <c r="H261" s="375">
        <f t="shared" si="88"/>
        <v>0.70000000000000018</v>
      </c>
      <c r="I261" s="375">
        <f t="shared" si="88"/>
        <v>11.8</v>
      </c>
      <c r="J261" s="375">
        <f t="shared" si="88"/>
        <v>0.15000000000000013</v>
      </c>
      <c r="K261" s="375">
        <f t="shared" si="88"/>
        <v>0</v>
      </c>
      <c r="L261" s="375">
        <f t="shared" si="88"/>
        <v>0</v>
      </c>
      <c r="M261" s="375">
        <f t="shared" si="88"/>
        <v>0</v>
      </c>
      <c r="N261" s="375">
        <f t="shared" si="88"/>
        <v>0</v>
      </c>
      <c r="O261" s="375">
        <f t="shared" si="88"/>
        <v>0</v>
      </c>
      <c r="P261" s="375">
        <f t="shared" si="88"/>
        <v>0</v>
      </c>
      <c r="Q261" s="375">
        <f t="shared" si="88"/>
        <v>0</v>
      </c>
      <c r="R261" s="375">
        <f t="shared" si="88"/>
        <v>0</v>
      </c>
      <c r="S261" s="375">
        <f t="shared" si="88"/>
        <v>0</v>
      </c>
      <c r="T261" s="375">
        <f t="shared" si="88"/>
        <v>0</v>
      </c>
      <c r="U261" s="375">
        <f t="shared" si="88"/>
        <v>0</v>
      </c>
      <c r="V261" s="375">
        <f t="shared" si="88"/>
        <v>0</v>
      </c>
      <c r="W261" s="375">
        <f>(X260+W260)*(X259-W259)/2</f>
        <v>0</v>
      </c>
      <c r="X261" s="375">
        <f>(Y260+X260)*(Y259-X259)/2</f>
        <v>0</v>
      </c>
      <c r="Y261" s="369"/>
    </row>
    <row r="262" spans="1:25" ht="12.9" thickBot="1" x14ac:dyDescent="0.35">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row>
    <row r="263" spans="1:25" ht="12.9" thickBot="1" x14ac:dyDescent="0.35">
      <c r="A263" s="361" t="s">
        <v>277</v>
      </c>
      <c r="B263" s="359">
        <f>ROW(A263)</f>
        <v>263</v>
      </c>
      <c r="C263" s="363" t="s">
        <v>115</v>
      </c>
      <c r="D263" s="353">
        <f>SUM(B266:Y266)</f>
        <v>145.46</v>
      </c>
      <c r="E263" s="363" t="s">
        <v>114</v>
      </c>
      <c r="F263" s="354">
        <f>D263/g/J263</f>
        <v>211.82466870540264</v>
      </c>
      <c r="G263" s="363" t="s">
        <v>56</v>
      </c>
      <c r="H263" s="64">
        <v>0.22</v>
      </c>
      <c r="I263" s="363" t="s">
        <v>273</v>
      </c>
      <c r="J263" s="355">
        <f>H263-L263</f>
        <v>7.0000000000000007E-2</v>
      </c>
      <c r="K263" s="363" t="s">
        <v>274</v>
      </c>
      <c r="L263" s="64">
        <v>0.15</v>
      </c>
      <c r="M263" s="363" t="s">
        <v>57</v>
      </c>
      <c r="N263" s="65">
        <v>50</v>
      </c>
      <c r="O263" s="363" t="s">
        <v>59</v>
      </c>
      <c r="P263" s="65">
        <v>55</v>
      </c>
      <c r="Q263" s="363" t="s">
        <v>60</v>
      </c>
      <c r="R263" s="65">
        <v>76</v>
      </c>
      <c r="S263" s="363" t="s">
        <v>61</v>
      </c>
      <c r="T263" s="65">
        <v>40</v>
      </c>
      <c r="U263" s="363" t="s">
        <v>54</v>
      </c>
      <c r="V263" s="66" t="s">
        <v>403</v>
      </c>
      <c r="W263" s="12"/>
      <c r="X263" s="12"/>
      <c r="Y263" s="12"/>
    </row>
    <row r="264" spans="1:25" x14ac:dyDescent="0.3">
      <c r="A264" s="362" t="s">
        <v>33</v>
      </c>
      <c r="B264" s="370">
        <v>0</v>
      </c>
      <c r="C264" s="371">
        <v>0.02</v>
      </c>
      <c r="D264" s="371">
        <v>0.04</v>
      </c>
      <c r="E264" s="371">
        <v>0.05</v>
      </c>
      <c r="F264" s="371">
        <v>0.06</v>
      </c>
      <c r="G264" s="371">
        <v>0.94</v>
      </c>
      <c r="H264" s="377">
        <v>0.94200000000000006</v>
      </c>
      <c r="I264" s="371">
        <v>0.95</v>
      </c>
      <c r="J264" s="371">
        <v>0.95</v>
      </c>
      <c r="K264" s="371">
        <v>0.95</v>
      </c>
      <c r="L264" s="371">
        <v>0.95</v>
      </c>
      <c r="M264" s="371">
        <v>0.95</v>
      </c>
      <c r="N264" s="371">
        <v>0.95</v>
      </c>
      <c r="O264" s="371">
        <v>0.95</v>
      </c>
      <c r="P264" s="371">
        <v>0.95</v>
      </c>
      <c r="Q264" s="371">
        <v>0.95</v>
      </c>
      <c r="R264" s="371">
        <v>0.95</v>
      </c>
      <c r="S264" s="371">
        <v>0.95</v>
      </c>
      <c r="T264" s="371">
        <v>0.95</v>
      </c>
      <c r="U264" s="371">
        <v>0.95</v>
      </c>
      <c r="V264" s="371">
        <v>0.95</v>
      </c>
      <c r="W264" s="371">
        <v>0.95</v>
      </c>
      <c r="X264" s="371">
        <v>2</v>
      </c>
      <c r="Y264" s="381">
        <v>1000</v>
      </c>
    </row>
    <row r="265" spans="1:25" x14ac:dyDescent="0.3">
      <c r="A265" s="378" t="s">
        <v>34</v>
      </c>
      <c r="B265" s="372">
        <v>0</v>
      </c>
      <c r="C265" s="373">
        <v>320</v>
      </c>
      <c r="D265" s="373">
        <v>170</v>
      </c>
      <c r="E265" s="373">
        <v>205</v>
      </c>
      <c r="F265" s="373">
        <v>217</v>
      </c>
      <c r="G265" s="373">
        <v>85</v>
      </c>
      <c r="H265" s="373">
        <v>82</v>
      </c>
      <c r="I265" s="373">
        <v>0</v>
      </c>
      <c r="J265" s="373">
        <v>0</v>
      </c>
      <c r="K265" s="373">
        <v>0</v>
      </c>
      <c r="L265" s="373">
        <v>0</v>
      </c>
      <c r="M265" s="373">
        <v>0</v>
      </c>
      <c r="N265" s="373">
        <v>0</v>
      </c>
      <c r="O265" s="373">
        <v>0</v>
      </c>
      <c r="P265" s="373">
        <v>0</v>
      </c>
      <c r="Q265" s="373">
        <v>0</v>
      </c>
      <c r="R265" s="373">
        <v>0</v>
      </c>
      <c r="S265" s="373">
        <v>0</v>
      </c>
      <c r="T265" s="373">
        <v>0</v>
      </c>
      <c r="U265" s="373">
        <v>0</v>
      </c>
      <c r="V265" s="373">
        <v>0</v>
      </c>
      <c r="W265" s="373">
        <v>0</v>
      </c>
      <c r="X265" s="373">
        <v>0</v>
      </c>
      <c r="Y265" s="382">
        <v>0</v>
      </c>
    </row>
    <row r="266" spans="1:25" ht="12.9" thickBot="1" x14ac:dyDescent="0.35">
      <c r="A266" s="379" t="s">
        <v>116</v>
      </c>
      <c r="B266" s="374">
        <f t="shared" ref="B266:H266" si="89">(C265+B265)*(C264-B264)/2</f>
        <v>3.2</v>
      </c>
      <c r="C266" s="375">
        <f t="shared" si="89"/>
        <v>4.9000000000000004</v>
      </c>
      <c r="D266" s="375">
        <f t="shared" si="89"/>
        <v>1.8750000000000004</v>
      </c>
      <c r="E266" s="375">
        <f t="shared" si="89"/>
        <v>2.109999999999999</v>
      </c>
      <c r="F266" s="375">
        <f t="shared" si="89"/>
        <v>132.88</v>
      </c>
      <c r="G266" s="375">
        <f t="shared" si="89"/>
        <v>0.16700000000000942</v>
      </c>
      <c r="H266" s="375">
        <f t="shared" si="89"/>
        <v>0.32799999999999574</v>
      </c>
      <c r="I266" s="375">
        <f t="shared" ref="I266:V266" si="90">(J265+I265)*(J264-I264)/2</f>
        <v>0</v>
      </c>
      <c r="J266" s="375">
        <f>(K265+J265)*(K264-J264)/2</f>
        <v>0</v>
      </c>
      <c r="K266" s="375">
        <f t="shared" si="90"/>
        <v>0</v>
      </c>
      <c r="L266" s="375">
        <f t="shared" si="90"/>
        <v>0</v>
      </c>
      <c r="M266" s="375">
        <f t="shared" si="90"/>
        <v>0</v>
      </c>
      <c r="N266" s="375">
        <f t="shared" si="90"/>
        <v>0</v>
      </c>
      <c r="O266" s="375">
        <f t="shared" si="90"/>
        <v>0</v>
      </c>
      <c r="P266" s="375">
        <f t="shared" si="90"/>
        <v>0</v>
      </c>
      <c r="Q266" s="375">
        <f t="shared" si="90"/>
        <v>0</v>
      </c>
      <c r="R266" s="375">
        <f t="shared" si="90"/>
        <v>0</v>
      </c>
      <c r="S266" s="375">
        <f>(T265+S265)*(T264-S264)/2</f>
        <v>0</v>
      </c>
      <c r="T266" s="375">
        <f t="shared" si="90"/>
        <v>0</v>
      </c>
      <c r="U266" s="375">
        <f t="shared" si="90"/>
        <v>0</v>
      </c>
      <c r="V266" s="375">
        <f t="shared" si="90"/>
        <v>0</v>
      </c>
      <c r="W266" s="375">
        <f>(X265+W265)*(X264-W264)/2</f>
        <v>0</v>
      </c>
      <c r="X266" s="375">
        <f>(Y265+X265)*(Y264-X264)/2</f>
        <v>0</v>
      </c>
      <c r="Y266" s="369"/>
    </row>
    <row r="267" spans="1:25" x14ac:dyDescent="0.3">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row>
    <row r="268" spans="1:25" ht="12.9" thickBot="1" x14ac:dyDescent="0.35">
      <c r="A268" s="6" t="s">
        <v>315</v>
      </c>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row>
    <row r="269" spans="1:25" ht="12.9" thickBot="1" x14ac:dyDescent="0.35">
      <c r="A269" s="361" t="s">
        <v>35</v>
      </c>
      <c r="B269" s="359">
        <f>ROW(A269)</f>
        <v>269</v>
      </c>
      <c r="C269" s="363" t="s">
        <v>115</v>
      </c>
      <c r="D269" s="353">
        <f>SUM(B272:Y272)</f>
        <v>1071.5999999999999</v>
      </c>
      <c r="E269" s="363" t="s">
        <v>114</v>
      </c>
      <c r="F269" s="354">
        <f>D269/g/J269</f>
        <v>163.03802090465106</v>
      </c>
      <c r="G269" s="363" t="s">
        <v>56</v>
      </c>
      <c r="H269" s="64">
        <v>2.02</v>
      </c>
      <c r="I269" s="363" t="s">
        <v>273</v>
      </c>
      <c r="J269" s="355">
        <f>H269-L269</f>
        <v>0.66999999999999993</v>
      </c>
      <c r="K269" s="363" t="s">
        <v>274</v>
      </c>
      <c r="L269" s="64">
        <v>1.35</v>
      </c>
      <c r="M269" s="363" t="s">
        <v>57</v>
      </c>
      <c r="N269" s="65">
        <v>154</v>
      </c>
      <c r="O269" s="363" t="s">
        <v>59</v>
      </c>
      <c r="P269" s="65">
        <v>168</v>
      </c>
      <c r="Q269" s="363" t="s">
        <v>60</v>
      </c>
      <c r="R269" s="65">
        <v>230</v>
      </c>
      <c r="S269" s="363" t="s">
        <v>61</v>
      </c>
      <c r="T269" s="65">
        <v>67</v>
      </c>
      <c r="U269" s="363" t="s">
        <v>54</v>
      </c>
      <c r="V269" s="66" t="s">
        <v>118</v>
      </c>
      <c r="W269" s="12"/>
      <c r="X269" s="12"/>
      <c r="Y269" s="12"/>
    </row>
    <row r="270" spans="1:25" x14ac:dyDescent="0.3">
      <c r="A270" s="362" t="s">
        <v>33</v>
      </c>
      <c r="B270" s="370">
        <v>0</v>
      </c>
      <c r="C270" s="371">
        <v>0.02</v>
      </c>
      <c r="D270" s="371">
        <v>0.05</v>
      </c>
      <c r="E270" s="371">
        <v>0.06</v>
      </c>
      <c r="F270" s="371">
        <v>0.09</v>
      </c>
      <c r="G270" s="371">
        <v>0.17</v>
      </c>
      <c r="H270" s="371">
        <v>0.2</v>
      </c>
      <c r="I270" s="371">
        <v>0.38</v>
      </c>
      <c r="J270" s="371">
        <v>0.75</v>
      </c>
      <c r="K270" s="371">
        <v>0.79</v>
      </c>
      <c r="L270" s="371">
        <v>1.1299999999999999</v>
      </c>
      <c r="M270" s="371">
        <v>1.2</v>
      </c>
      <c r="N270" s="371">
        <v>1.5</v>
      </c>
      <c r="O270" s="371">
        <v>1.54</v>
      </c>
      <c r="P270" s="371">
        <v>1.65</v>
      </c>
      <c r="Q270" s="371">
        <v>1.7</v>
      </c>
      <c r="R270" s="371">
        <v>1.79</v>
      </c>
      <c r="S270" s="371">
        <v>1.79</v>
      </c>
      <c r="T270" s="371">
        <v>1.79</v>
      </c>
      <c r="U270" s="371">
        <v>1.79</v>
      </c>
      <c r="V270" s="371">
        <v>1.79</v>
      </c>
      <c r="W270" s="371">
        <v>1.79</v>
      </c>
      <c r="X270" s="371">
        <v>1.79</v>
      </c>
      <c r="Y270" s="381">
        <v>1000</v>
      </c>
    </row>
    <row r="271" spans="1:25" x14ac:dyDescent="0.3">
      <c r="A271" s="378" t="s">
        <v>34</v>
      </c>
      <c r="B271" s="372">
        <v>0</v>
      </c>
      <c r="C271" s="373">
        <v>20</v>
      </c>
      <c r="D271" s="373">
        <v>870</v>
      </c>
      <c r="E271" s="373">
        <v>530</v>
      </c>
      <c r="F271" s="373">
        <v>790</v>
      </c>
      <c r="G271" s="373">
        <v>700</v>
      </c>
      <c r="H271" s="373">
        <v>710</v>
      </c>
      <c r="I271" s="373">
        <v>670</v>
      </c>
      <c r="J271" s="373">
        <v>630</v>
      </c>
      <c r="K271" s="373">
        <v>630</v>
      </c>
      <c r="L271" s="373">
        <v>710</v>
      </c>
      <c r="M271" s="373">
        <v>690</v>
      </c>
      <c r="N271" s="373">
        <v>690</v>
      </c>
      <c r="O271" s="373">
        <v>660</v>
      </c>
      <c r="P271" s="373">
        <v>160</v>
      </c>
      <c r="Q271" s="373">
        <v>10</v>
      </c>
      <c r="R271" s="373">
        <v>0</v>
      </c>
      <c r="S271" s="373">
        <v>0</v>
      </c>
      <c r="T271" s="373">
        <v>0</v>
      </c>
      <c r="U271" s="373">
        <v>0</v>
      </c>
      <c r="V271" s="373">
        <v>0</v>
      </c>
      <c r="W271" s="373">
        <v>0</v>
      </c>
      <c r="X271" s="373">
        <v>0</v>
      </c>
      <c r="Y271" s="382">
        <v>0</v>
      </c>
    </row>
    <row r="272" spans="1:25" ht="12.9" thickBot="1" x14ac:dyDescent="0.35">
      <c r="A272" s="379" t="s">
        <v>116</v>
      </c>
      <c r="B272" s="374">
        <f t="shared" ref="B272:Q272" si="91">(C271+B271)*(C270-B270)/2</f>
        <v>0.2</v>
      </c>
      <c r="C272" s="375">
        <f t="shared" si="91"/>
        <v>13.350000000000001</v>
      </c>
      <c r="D272" s="375">
        <f t="shared" si="91"/>
        <v>6.9999999999999964</v>
      </c>
      <c r="E272" s="375">
        <f t="shared" si="91"/>
        <v>19.8</v>
      </c>
      <c r="F272" s="375">
        <f t="shared" si="91"/>
        <v>59.600000000000009</v>
      </c>
      <c r="G272" s="375">
        <f t="shared" si="91"/>
        <v>21.15</v>
      </c>
      <c r="H272" s="375">
        <f t="shared" si="91"/>
        <v>124.19999999999999</v>
      </c>
      <c r="I272" s="375">
        <f t="shared" si="91"/>
        <v>240.5</v>
      </c>
      <c r="J272" s="375">
        <f>(K271+J271)*(K270-J270)/2</f>
        <v>25.200000000000024</v>
      </c>
      <c r="K272" s="375">
        <f t="shared" si="91"/>
        <v>227.7999999999999</v>
      </c>
      <c r="L272" s="375">
        <f t="shared" si="91"/>
        <v>49.000000000000043</v>
      </c>
      <c r="M272" s="375">
        <f t="shared" si="91"/>
        <v>207.00000000000003</v>
      </c>
      <c r="N272" s="375">
        <f t="shared" si="91"/>
        <v>27.000000000000025</v>
      </c>
      <c r="O272" s="375">
        <f t="shared" si="91"/>
        <v>45.099999999999952</v>
      </c>
      <c r="P272" s="375">
        <f t="shared" si="91"/>
        <v>4.2500000000000036</v>
      </c>
      <c r="Q272" s="375">
        <f t="shared" si="91"/>
        <v>0.4500000000000004</v>
      </c>
      <c r="R272" s="375">
        <f t="shared" ref="R272:X272" si="92">(S271+R271)*(S270-R270)/2</f>
        <v>0</v>
      </c>
      <c r="S272" s="375">
        <f t="shared" si="92"/>
        <v>0</v>
      </c>
      <c r="T272" s="375">
        <f t="shared" si="92"/>
        <v>0</v>
      </c>
      <c r="U272" s="375">
        <f t="shared" si="92"/>
        <v>0</v>
      </c>
      <c r="V272" s="375">
        <f t="shared" si="92"/>
        <v>0</v>
      </c>
      <c r="W272" s="375">
        <f t="shared" si="92"/>
        <v>0</v>
      </c>
      <c r="X272" s="375">
        <f t="shared" si="92"/>
        <v>0</v>
      </c>
      <c r="Y272" s="383"/>
    </row>
    <row r="273" spans="1:25" ht="12.9" thickBot="1" x14ac:dyDescent="0.35">
      <c r="S273" s="12"/>
      <c r="T273" s="12"/>
      <c r="U273" s="12"/>
      <c r="V273" s="12"/>
      <c r="W273" s="12"/>
      <c r="X273" s="12"/>
      <c r="Y273" s="12"/>
    </row>
    <row r="274" spans="1:25" ht="12.9" thickBot="1" x14ac:dyDescent="0.35">
      <c r="A274" s="361" t="s">
        <v>36</v>
      </c>
      <c r="B274" s="359">
        <f>ROW(A274)</f>
        <v>274</v>
      </c>
      <c r="C274" s="363" t="s">
        <v>115</v>
      </c>
      <c r="D274" s="353">
        <f>SUM(B277:Y277)</f>
        <v>2102.35</v>
      </c>
      <c r="E274" s="363" t="s">
        <v>114</v>
      </c>
      <c r="F274" s="354">
        <f>D274/g/J274</f>
        <v>174.23319493133766</v>
      </c>
      <c r="G274" s="363" t="s">
        <v>56</v>
      </c>
      <c r="H274" s="64">
        <v>3.7</v>
      </c>
      <c r="I274" s="363" t="s">
        <v>273</v>
      </c>
      <c r="J274" s="355">
        <f>H274-L274</f>
        <v>1.23</v>
      </c>
      <c r="K274" s="363" t="s">
        <v>274</v>
      </c>
      <c r="L274" s="64">
        <v>2.4700000000000002</v>
      </c>
      <c r="M274" s="363" t="s">
        <v>57</v>
      </c>
      <c r="N274" s="65">
        <v>151</v>
      </c>
      <c r="O274" s="363" t="s">
        <v>59</v>
      </c>
      <c r="P274" s="65">
        <v>171</v>
      </c>
      <c r="Q274" s="363" t="s">
        <v>60</v>
      </c>
      <c r="R274" s="65">
        <v>247</v>
      </c>
      <c r="S274" s="363" t="s">
        <v>61</v>
      </c>
      <c r="T274" s="65">
        <v>90</v>
      </c>
      <c r="U274" s="363" t="s">
        <v>54</v>
      </c>
      <c r="V274" s="66" t="s">
        <v>118</v>
      </c>
      <c r="W274" s="12"/>
      <c r="X274" s="12"/>
      <c r="Y274" s="12"/>
    </row>
    <row r="275" spans="1:25" x14ac:dyDescent="0.3">
      <c r="A275" s="362" t="s">
        <v>33</v>
      </c>
      <c r="B275" s="370">
        <v>0</v>
      </c>
      <c r="C275" s="371">
        <v>0.05</v>
      </c>
      <c r="D275" s="371">
        <v>0.1</v>
      </c>
      <c r="E275" s="371">
        <v>1</v>
      </c>
      <c r="F275" s="371">
        <v>1.35</v>
      </c>
      <c r="G275" s="371">
        <v>1.75</v>
      </c>
      <c r="H275" s="371">
        <v>2.15</v>
      </c>
      <c r="I275" s="371">
        <v>2.25</v>
      </c>
      <c r="J275" s="371">
        <v>2.48</v>
      </c>
      <c r="K275" s="371">
        <v>2.6</v>
      </c>
      <c r="L275" s="371">
        <v>2.8</v>
      </c>
      <c r="M275" s="371">
        <v>2.8</v>
      </c>
      <c r="N275" s="371">
        <v>2.8</v>
      </c>
      <c r="O275" s="371">
        <v>2.8</v>
      </c>
      <c r="P275" s="371">
        <v>2.8</v>
      </c>
      <c r="Q275" s="371">
        <v>2.8</v>
      </c>
      <c r="R275" s="371">
        <v>2.8</v>
      </c>
      <c r="S275" s="371">
        <v>2.8</v>
      </c>
      <c r="T275" s="371">
        <v>2.8</v>
      </c>
      <c r="U275" s="371">
        <v>2.8</v>
      </c>
      <c r="V275" s="371">
        <v>2.8</v>
      </c>
      <c r="W275" s="371">
        <v>2.8</v>
      </c>
      <c r="X275" s="371">
        <v>2.8</v>
      </c>
      <c r="Y275" s="381">
        <v>1000</v>
      </c>
    </row>
    <row r="276" spans="1:25" x14ac:dyDescent="0.3">
      <c r="A276" s="378" t="s">
        <v>34</v>
      </c>
      <c r="B276" s="372">
        <v>0</v>
      </c>
      <c r="C276" s="373">
        <v>860</v>
      </c>
      <c r="D276" s="373">
        <v>840</v>
      </c>
      <c r="E276" s="373">
        <v>840</v>
      </c>
      <c r="F276" s="373">
        <v>850</v>
      </c>
      <c r="G276" s="373">
        <v>900</v>
      </c>
      <c r="H276" s="373">
        <v>1050</v>
      </c>
      <c r="I276" s="373">
        <v>1020</v>
      </c>
      <c r="J276" s="373">
        <v>120</v>
      </c>
      <c r="K276" s="373">
        <v>30</v>
      </c>
      <c r="L276" s="373">
        <v>0</v>
      </c>
      <c r="M276" s="373">
        <v>0</v>
      </c>
      <c r="N276" s="373">
        <v>0</v>
      </c>
      <c r="O276" s="373">
        <v>0</v>
      </c>
      <c r="P276" s="373">
        <v>0</v>
      </c>
      <c r="Q276" s="373">
        <v>0</v>
      </c>
      <c r="R276" s="373">
        <v>0</v>
      </c>
      <c r="S276" s="373">
        <v>0</v>
      </c>
      <c r="T276" s="373">
        <v>0</v>
      </c>
      <c r="U276" s="373">
        <v>0</v>
      </c>
      <c r="V276" s="373">
        <v>0</v>
      </c>
      <c r="W276" s="373">
        <v>0</v>
      </c>
      <c r="X276" s="373">
        <v>0</v>
      </c>
      <c r="Y276" s="382">
        <v>0</v>
      </c>
    </row>
    <row r="277" spans="1:25" ht="12.9" thickBot="1" x14ac:dyDescent="0.35">
      <c r="A277" s="379" t="s">
        <v>116</v>
      </c>
      <c r="B277" s="374">
        <f t="shared" ref="B277:K277" si="93">(C276+B276)*(C275-B275)/2</f>
        <v>21.5</v>
      </c>
      <c r="C277" s="375">
        <f t="shared" si="93"/>
        <v>42.5</v>
      </c>
      <c r="D277" s="375">
        <f t="shared" si="93"/>
        <v>756</v>
      </c>
      <c r="E277" s="375">
        <f t="shared" si="93"/>
        <v>295.75000000000006</v>
      </c>
      <c r="F277" s="375">
        <f t="shared" si="93"/>
        <v>349.99999999999994</v>
      </c>
      <c r="G277" s="375">
        <f t="shared" si="93"/>
        <v>389.99999999999989</v>
      </c>
      <c r="H277" s="375">
        <f t="shared" si="93"/>
        <v>103.50000000000009</v>
      </c>
      <c r="I277" s="375">
        <f t="shared" si="93"/>
        <v>131.1</v>
      </c>
      <c r="J277" s="375">
        <f>(K276+J276)*(K275-J275)/2</f>
        <v>9.0000000000000071</v>
      </c>
      <c r="K277" s="375">
        <f t="shared" si="93"/>
        <v>2.999999999999996</v>
      </c>
      <c r="L277" s="375">
        <f t="shared" ref="L277:V277" si="94">(M276+L276)*(M275-L275)/2</f>
        <v>0</v>
      </c>
      <c r="M277" s="375">
        <f t="shared" si="94"/>
        <v>0</v>
      </c>
      <c r="N277" s="375">
        <f t="shared" si="94"/>
        <v>0</v>
      </c>
      <c r="O277" s="375">
        <f t="shared" si="94"/>
        <v>0</v>
      </c>
      <c r="P277" s="375">
        <f t="shared" si="94"/>
        <v>0</v>
      </c>
      <c r="Q277" s="375">
        <f t="shared" si="94"/>
        <v>0</v>
      </c>
      <c r="R277" s="375">
        <f t="shared" si="94"/>
        <v>0</v>
      </c>
      <c r="S277" s="375">
        <f>(T276+S276)*(T275-S275)/2</f>
        <v>0</v>
      </c>
      <c r="T277" s="375">
        <f t="shared" si="94"/>
        <v>0</v>
      </c>
      <c r="U277" s="375">
        <f t="shared" si="94"/>
        <v>0</v>
      </c>
      <c r="V277" s="375">
        <f t="shared" si="94"/>
        <v>0</v>
      </c>
      <c r="W277" s="375">
        <f>(X276+W276)*(X275-W275)/2</f>
        <v>0</v>
      </c>
      <c r="X277" s="375">
        <f>(Y276+X276)*(Y275-X275)/2</f>
        <v>0</v>
      </c>
      <c r="Y277" s="369"/>
    </row>
    <row r="278" spans="1:25" ht="12.9" thickBot="1" x14ac:dyDescent="0.35"/>
    <row r="279" spans="1:25" ht="12.9" thickBot="1" x14ac:dyDescent="0.35">
      <c r="A279" s="361" t="s">
        <v>554</v>
      </c>
      <c r="B279" s="359">
        <f>ROW(A279)</f>
        <v>279</v>
      </c>
      <c r="C279" s="363" t="s">
        <v>115</v>
      </c>
      <c r="D279" s="353">
        <f>SUM(B282:Y282)</f>
        <v>2058.37</v>
      </c>
      <c r="E279" s="363" t="s">
        <v>114</v>
      </c>
      <c r="F279" s="354">
        <f>D279/g/J279</f>
        <v>203.12066731598335</v>
      </c>
      <c r="G279" s="363" t="s">
        <v>56</v>
      </c>
      <c r="H279" s="64">
        <v>1.6850000000000001</v>
      </c>
      <c r="I279" s="363" t="s">
        <v>273</v>
      </c>
      <c r="J279" s="355">
        <f>H279-L279</f>
        <v>1.0329999999999999</v>
      </c>
      <c r="K279" s="363" t="s">
        <v>274</v>
      </c>
      <c r="L279" s="64">
        <v>0.65200000000000002</v>
      </c>
      <c r="M279" s="363" t="s">
        <v>57</v>
      </c>
      <c r="N279" s="65">
        <v>250</v>
      </c>
      <c r="O279" s="363" t="s">
        <v>59</v>
      </c>
      <c r="P279" s="65">
        <v>240</v>
      </c>
      <c r="Q279" s="363" t="s">
        <v>60</v>
      </c>
      <c r="R279" s="65">
        <v>488</v>
      </c>
      <c r="S279" s="363" t="s">
        <v>61</v>
      </c>
      <c r="T279" s="65">
        <v>54</v>
      </c>
      <c r="U279" s="363" t="s">
        <v>54</v>
      </c>
      <c r="V279" s="66" t="s">
        <v>118</v>
      </c>
      <c r="W279" s="12"/>
      <c r="X279" s="12"/>
      <c r="Y279" s="12"/>
    </row>
    <row r="280" spans="1:25" x14ac:dyDescent="0.3">
      <c r="A280" s="362" t="s">
        <v>33</v>
      </c>
      <c r="B280" s="370">
        <v>0</v>
      </c>
      <c r="C280" s="371">
        <v>0.05</v>
      </c>
      <c r="D280" s="371">
        <v>0.5</v>
      </c>
      <c r="E280" s="371">
        <v>1</v>
      </c>
      <c r="F280" s="371">
        <v>1.5</v>
      </c>
      <c r="G280" s="371">
        <v>2</v>
      </c>
      <c r="H280" s="371">
        <v>2.5</v>
      </c>
      <c r="I280" s="371">
        <v>2.97</v>
      </c>
      <c r="J280" s="371">
        <v>3.2</v>
      </c>
      <c r="K280" s="371">
        <v>3.47</v>
      </c>
      <c r="L280" s="371">
        <v>3.59</v>
      </c>
      <c r="M280" s="371">
        <v>3.59</v>
      </c>
      <c r="N280" s="371">
        <v>3.59</v>
      </c>
      <c r="O280" s="371">
        <v>3.59</v>
      </c>
      <c r="P280" s="371">
        <v>3.59</v>
      </c>
      <c r="Q280" s="371">
        <v>3.59</v>
      </c>
      <c r="R280" s="371">
        <v>3.59</v>
      </c>
      <c r="S280" s="371">
        <v>3.59</v>
      </c>
      <c r="T280" s="371">
        <v>3.59</v>
      </c>
      <c r="U280" s="371">
        <v>3.59</v>
      </c>
      <c r="V280" s="371">
        <v>3.59</v>
      </c>
      <c r="W280" s="371">
        <v>3.59</v>
      </c>
      <c r="X280" s="371">
        <v>3.59</v>
      </c>
      <c r="Y280" s="381">
        <v>1000</v>
      </c>
    </row>
    <row r="281" spans="1:25" x14ac:dyDescent="0.3">
      <c r="A281" s="378" t="s">
        <v>34</v>
      </c>
      <c r="B281" s="372">
        <v>0</v>
      </c>
      <c r="C281" s="373">
        <v>893</v>
      </c>
      <c r="D281" s="373">
        <v>798</v>
      </c>
      <c r="E281" s="373">
        <v>739</v>
      </c>
      <c r="F281" s="373">
        <v>659</v>
      </c>
      <c r="G281" s="373">
        <v>586</v>
      </c>
      <c r="H281" s="373">
        <v>513</v>
      </c>
      <c r="I281" s="373">
        <v>417</v>
      </c>
      <c r="J281" s="373">
        <v>225</v>
      </c>
      <c r="K281" s="373">
        <v>67</v>
      </c>
      <c r="L281" s="373">
        <v>0</v>
      </c>
      <c r="M281" s="373">
        <v>0</v>
      </c>
      <c r="N281" s="373">
        <v>0</v>
      </c>
      <c r="O281" s="373">
        <v>0</v>
      </c>
      <c r="P281" s="373">
        <v>0</v>
      </c>
      <c r="Q281" s="373">
        <v>0</v>
      </c>
      <c r="R281" s="373">
        <v>0</v>
      </c>
      <c r="S281" s="373">
        <v>0</v>
      </c>
      <c r="T281" s="373">
        <v>0</v>
      </c>
      <c r="U281" s="373">
        <v>0</v>
      </c>
      <c r="V281" s="373">
        <v>0</v>
      </c>
      <c r="W281" s="373">
        <v>0</v>
      </c>
      <c r="X281" s="373">
        <v>0</v>
      </c>
      <c r="Y281" s="382">
        <v>0</v>
      </c>
    </row>
    <row r="282" spans="1:25" ht="12.9" thickBot="1" x14ac:dyDescent="0.35">
      <c r="A282" s="380" t="s">
        <v>116</v>
      </c>
      <c r="B282" s="374">
        <f t="shared" ref="B282:V282" si="95">(C281+B281)*(C280-B280)/2</f>
        <v>22.325000000000003</v>
      </c>
      <c r="C282" s="375">
        <f t="shared" si="95"/>
        <v>380.47500000000002</v>
      </c>
      <c r="D282" s="375">
        <f t="shared" si="95"/>
        <v>384.25</v>
      </c>
      <c r="E282" s="375">
        <f t="shared" si="95"/>
        <v>349.5</v>
      </c>
      <c r="F282" s="375">
        <f t="shared" si="95"/>
        <v>311.25</v>
      </c>
      <c r="G282" s="375">
        <f t="shared" si="95"/>
        <v>274.75</v>
      </c>
      <c r="H282" s="375">
        <f t="shared" si="95"/>
        <v>218.5500000000001</v>
      </c>
      <c r="I282" s="375">
        <f t="shared" si="95"/>
        <v>73.83</v>
      </c>
      <c r="J282" s="375">
        <f>(K281+J281)*(K280-J280)/2</f>
        <v>39.42</v>
      </c>
      <c r="K282" s="375">
        <f t="shared" si="95"/>
        <v>4.0199999999999889</v>
      </c>
      <c r="L282" s="375">
        <f t="shared" si="95"/>
        <v>0</v>
      </c>
      <c r="M282" s="375">
        <f t="shared" si="95"/>
        <v>0</v>
      </c>
      <c r="N282" s="375">
        <f t="shared" si="95"/>
        <v>0</v>
      </c>
      <c r="O282" s="375">
        <f t="shared" si="95"/>
        <v>0</v>
      </c>
      <c r="P282" s="375">
        <f t="shared" si="95"/>
        <v>0</v>
      </c>
      <c r="Q282" s="375">
        <f t="shared" si="95"/>
        <v>0</v>
      </c>
      <c r="R282" s="375">
        <f t="shared" si="95"/>
        <v>0</v>
      </c>
      <c r="S282" s="375">
        <f>(T281+S281)*(T280-S280)/2</f>
        <v>0</v>
      </c>
      <c r="T282" s="375">
        <f t="shared" si="95"/>
        <v>0</v>
      </c>
      <c r="U282" s="375">
        <f t="shared" si="95"/>
        <v>0</v>
      </c>
      <c r="V282" s="375">
        <f t="shared" si="95"/>
        <v>0</v>
      </c>
      <c r="W282" s="375">
        <f>(X281+W281)*(X280-W280)/2</f>
        <v>0</v>
      </c>
      <c r="X282" s="375">
        <f>(Y281+X281)*(Y280-X280)/2</f>
        <v>0</v>
      </c>
      <c r="Y282" s="369"/>
    </row>
    <row r="283" spans="1:25" ht="12.9" thickBot="1" x14ac:dyDescent="0.35">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row>
    <row r="284" spans="1:25" ht="12.9" thickBot="1" x14ac:dyDescent="0.35">
      <c r="A284" s="361" t="s">
        <v>557</v>
      </c>
      <c r="B284" s="359">
        <f>ROW(A284)</f>
        <v>284</v>
      </c>
      <c r="C284" s="363" t="s">
        <v>115</v>
      </c>
      <c r="D284" s="353">
        <f>SUM(B287:Y287)</f>
        <v>1998.2428999999995</v>
      </c>
      <c r="E284" s="363" t="s">
        <v>114</v>
      </c>
      <c r="F284" s="354">
        <f>D284/g/J284</f>
        <v>207.42819268753979</v>
      </c>
      <c r="G284" s="363" t="s">
        <v>56</v>
      </c>
      <c r="H284" s="64">
        <v>1.6319999999999999</v>
      </c>
      <c r="I284" s="363" t="s">
        <v>273</v>
      </c>
      <c r="J284" s="355">
        <f>H284-L284</f>
        <v>0.98199999999999987</v>
      </c>
      <c r="K284" s="363" t="s">
        <v>274</v>
      </c>
      <c r="L284" s="64">
        <v>0.65</v>
      </c>
      <c r="M284" s="363" t="s">
        <v>57</v>
      </c>
      <c r="N284" s="65">
        <v>250</v>
      </c>
      <c r="O284" s="363" t="s">
        <v>59</v>
      </c>
      <c r="P284" s="65">
        <v>240</v>
      </c>
      <c r="Q284" s="363" t="s">
        <v>60</v>
      </c>
      <c r="R284" s="65">
        <v>488</v>
      </c>
      <c r="S284" s="363" t="s">
        <v>61</v>
      </c>
      <c r="T284" s="65">
        <v>54</v>
      </c>
      <c r="U284" s="363" t="s">
        <v>54</v>
      </c>
      <c r="V284" s="66" t="s">
        <v>118</v>
      </c>
      <c r="W284" s="12"/>
      <c r="X284" s="12"/>
      <c r="Y284" s="12"/>
    </row>
    <row r="285" spans="1:25" x14ac:dyDescent="0.3">
      <c r="A285" s="362" t="s">
        <v>33</v>
      </c>
      <c r="B285" s="373">
        <v>0</v>
      </c>
      <c r="C285" s="373">
        <v>0.01</v>
      </c>
      <c r="D285" s="373">
        <v>0.02</v>
      </c>
      <c r="E285" s="373">
        <v>0.05</v>
      </c>
      <c r="F285" s="373">
        <v>0.1</v>
      </c>
      <c r="G285" s="373">
        <v>0.2</v>
      </c>
      <c r="H285" s="373">
        <v>0.4</v>
      </c>
      <c r="I285" s="373">
        <v>0.8</v>
      </c>
      <c r="J285" s="373">
        <v>0.9</v>
      </c>
      <c r="K285" s="373">
        <v>1</v>
      </c>
      <c r="L285" s="373">
        <v>1.1000000000000001</v>
      </c>
      <c r="M285" s="373">
        <v>1.2</v>
      </c>
      <c r="N285" s="373">
        <v>1.3</v>
      </c>
      <c r="O285" s="373">
        <v>1.4</v>
      </c>
      <c r="P285" s="373">
        <v>1.55</v>
      </c>
      <c r="Q285" s="373">
        <v>1.6</v>
      </c>
      <c r="R285" s="373">
        <v>1.62</v>
      </c>
      <c r="S285" s="373">
        <v>1.64</v>
      </c>
      <c r="T285" s="373">
        <v>1.66</v>
      </c>
      <c r="U285" s="373">
        <v>1.67</v>
      </c>
      <c r="V285" s="373">
        <v>1.68</v>
      </c>
      <c r="W285" s="533">
        <v>1.69</v>
      </c>
      <c r="X285" s="533">
        <v>1.7</v>
      </c>
      <c r="Y285" s="381">
        <v>1000</v>
      </c>
    </row>
    <row r="286" spans="1:25" x14ac:dyDescent="0.3">
      <c r="A286" s="378" t="s">
        <v>34</v>
      </c>
      <c r="B286" s="373">
        <v>0</v>
      </c>
      <c r="C286" s="373">
        <v>492.25</v>
      </c>
      <c r="D286" s="373">
        <v>1369.46</v>
      </c>
      <c r="E286" s="373">
        <v>1236.01</v>
      </c>
      <c r="F286" s="373">
        <v>1279.47</v>
      </c>
      <c r="G286" s="373">
        <v>1311.39</v>
      </c>
      <c r="H286" s="373">
        <v>1331.39</v>
      </c>
      <c r="I286" s="373">
        <v>1304.08</v>
      </c>
      <c r="J286" s="373">
        <v>1280.6199999999999</v>
      </c>
      <c r="K286" s="373">
        <v>1249.8599999999999</v>
      </c>
      <c r="L286" s="373">
        <v>1217.94</v>
      </c>
      <c r="M286" s="373">
        <v>1199.29</v>
      </c>
      <c r="N286" s="373">
        <v>1158.77</v>
      </c>
      <c r="O286" s="373">
        <v>1112.56</v>
      </c>
      <c r="P286" s="373">
        <v>941.81</v>
      </c>
      <c r="Q286" s="373">
        <v>726.07</v>
      </c>
      <c r="R286" s="373">
        <v>559.16999999999996</v>
      </c>
      <c r="S286" s="373">
        <v>399.95</v>
      </c>
      <c r="T286" s="373">
        <v>317.66000000000003</v>
      </c>
      <c r="U286" s="373">
        <v>247.28</v>
      </c>
      <c r="V286" s="373">
        <v>198.05</v>
      </c>
      <c r="W286" s="373">
        <v>67.3</v>
      </c>
      <c r="X286" s="373">
        <v>0</v>
      </c>
      <c r="Y286" s="382">
        <v>0</v>
      </c>
    </row>
    <row r="287" spans="1:25" ht="12.9" thickBot="1" x14ac:dyDescent="0.35">
      <c r="A287" s="379" t="s">
        <v>116</v>
      </c>
      <c r="B287" s="374">
        <f t="shared" ref="B287:V287" si="96">(C286+B286)*(C285-B285)/2</f>
        <v>2.4612500000000002</v>
      </c>
      <c r="C287" s="375">
        <f t="shared" si="96"/>
        <v>9.3085500000000003</v>
      </c>
      <c r="D287" s="375">
        <f t="shared" si="96"/>
        <v>39.08205000000001</v>
      </c>
      <c r="E287" s="375">
        <f t="shared" si="96"/>
        <v>62.887</v>
      </c>
      <c r="F287" s="375">
        <f t="shared" si="96"/>
        <v>129.54300000000001</v>
      </c>
      <c r="G287" s="375">
        <f t="shared" si="96"/>
        <v>264.27800000000002</v>
      </c>
      <c r="H287" s="375">
        <f t="shared" si="96"/>
        <v>527.09400000000005</v>
      </c>
      <c r="I287" s="375">
        <f t="shared" si="96"/>
        <v>129.23499999999996</v>
      </c>
      <c r="J287" s="375">
        <f>(K286+J286)*(K285-J285)/2</f>
        <v>126.52399999999994</v>
      </c>
      <c r="K287" s="375">
        <f t="shared" si="96"/>
        <v>123.39000000000011</v>
      </c>
      <c r="L287" s="375">
        <f t="shared" si="96"/>
        <v>120.86149999999984</v>
      </c>
      <c r="M287" s="375">
        <f t="shared" si="96"/>
        <v>117.90300000000011</v>
      </c>
      <c r="N287" s="375">
        <f t="shared" si="96"/>
        <v>113.56649999999985</v>
      </c>
      <c r="O287" s="375">
        <f t="shared" si="96"/>
        <v>154.07775000000012</v>
      </c>
      <c r="P287" s="375">
        <f t="shared" si="96"/>
        <v>41.697000000000038</v>
      </c>
      <c r="Q287" s="375">
        <f t="shared" si="96"/>
        <v>12.852400000000012</v>
      </c>
      <c r="R287" s="375">
        <f t="shared" si="96"/>
        <v>9.5911999999999011</v>
      </c>
      <c r="S287" s="375">
        <f>(T286+S286)*(T285-S285)/2</f>
        <v>7.1761000000000061</v>
      </c>
      <c r="T287" s="375">
        <f t="shared" si="96"/>
        <v>2.8247000000000027</v>
      </c>
      <c r="U287" s="375">
        <f t="shared" si="96"/>
        <v>2.226650000000002</v>
      </c>
      <c r="V287" s="375">
        <f t="shared" si="96"/>
        <v>1.3267500000000012</v>
      </c>
      <c r="W287" s="375">
        <f>(X286+W286)*(X285-W285)/2</f>
        <v>0.3365000000000003</v>
      </c>
      <c r="X287" s="375">
        <f>(Y286+X286)*(Y285-X285)/2</f>
        <v>0</v>
      </c>
      <c r="Y287" s="369"/>
    </row>
    <row r="288" spans="1:25" ht="12.9" thickBot="1" x14ac:dyDescent="0.35">
      <c r="A288" s="12"/>
      <c r="L288" s="12"/>
      <c r="M288" s="12"/>
      <c r="N288" s="12"/>
      <c r="O288" s="12"/>
      <c r="P288" s="12"/>
      <c r="Q288" s="12"/>
      <c r="R288" s="12"/>
      <c r="S288" s="12"/>
      <c r="T288" s="12"/>
      <c r="U288" s="12"/>
      <c r="V288" s="12"/>
      <c r="W288" s="12"/>
      <c r="X288" s="12"/>
      <c r="Y288" s="12"/>
    </row>
    <row r="289" spans="1:25" ht="12.9" thickBot="1" x14ac:dyDescent="0.35">
      <c r="A289" s="361" t="s">
        <v>555</v>
      </c>
      <c r="B289" s="359">
        <f>ROW(A289)</f>
        <v>289</v>
      </c>
      <c r="C289" s="363" t="s">
        <v>115</v>
      </c>
      <c r="D289" s="353">
        <f>SUM(B292:Y292)</f>
        <v>3739.0284999999994</v>
      </c>
      <c r="E289" s="363" t="s">
        <v>114</v>
      </c>
      <c r="F289" s="354">
        <f>D289/g/J289</f>
        <v>203.4941790441234</v>
      </c>
      <c r="G289" s="363" t="s">
        <v>56</v>
      </c>
      <c r="H289" s="64">
        <v>3.5110000000000001</v>
      </c>
      <c r="I289" s="363" t="s">
        <v>273</v>
      </c>
      <c r="J289" s="355">
        <f>H289-L289</f>
        <v>1.8730000000000002</v>
      </c>
      <c r="K289" s="363" t="s">
        <v>274</v>
      </c>
      <c r="L289" s="64">
        <v>1.6379999999999999</v>
      </c>
      <c r="M289" s="363" t="s">
        <v>57</v>
      </c>
      <c r="N289" s="65">
        <v>243</v>
      </c>
      <c r="O289" s="363" t="s">
        <v>59</v>
      </c>
      <c r="P289" s="65">
        <v>249</v>
      </c>
      <c r="Q289" s="363" t="s">
        <v>60</v>
      </c>
      <c r="R289" s="65">
        <v>498</v>
      </c>
      <c r="S289" s="363" t="s">
        <v>61</v>
      </c>
      <c r="T289" s="65">
        <v>75</v>
      </c>
      <c r="U289" s="363" t="s">
        <v>54</v>
      </c>
      <c r="V289" s="66" t="s">
        <v>118</v>
      </c>
      <c r="W289" s="12"/>
      <c r="X289" s="12"/>
      <c r="Y289" s="12"/>
    </row>
    <row r="290" spans="1:25" x14ac:dyDescent="0.3">
      <c r="A290" s="362" t="s">
        <v>33</v>
      </c>
      <c r="B290" s="370">
        <v>0</v>
      </c>
      <c r="C290" s="371">
        <v>0.01</v>
      </c>
      <c r="D290" s="371">
        <v>0.1</v>
      </c>
      <c r="E290" s="371">
        <v>0.12</v>
      </c>
      <c r="F290" s="371">
        <v>0.26</v>
      </c>
      <c r="G290" s="371">
        <v>0.71</v>
      </c>
      <c r="H290" s="371">
        <v>1.28</v>
      </c>
      <c r="I290" s="371">
        <v>2.0499999999999998</v>
      </c>
      <c r="J290" s="371">
        <v>2.41</v>
      </c>
      <c r="K290" s="371">
        <v>2.83</v>
      </c>
      <c r="L290" s="371">
        <v>3.25</v>
      </c>
      <c r="M290" s="371">
        <v>3.65</v>
      </c>
      <c r="N290" s="371">
        <v>3.8</v>
      </c>
      <c r="O290" s="371">
        <v>4</v>
      </c>
      <c r="P290" s="371">
        <v>4.0999999999999996</v>
      </c>
      <c r="Q290" s="371">
        <v>4.1900000000000004</v>
      </c>
      <c r="R290" s="371">
        <v>4.3099999999999996</v>
      </c>
      <c r="S290" s="371">
        <v>4.41</v>
      </c>
      <c r="T290" s="371">
        <v>4.5199999999999996</v>
      </c>
      <c r="U290" s="371">
        <v>4.5999999999999996</v>
      </c>
      <c r="V290" s="371">
        <v>4.6500000000000004</v>
      </c>
      <c r="W290" s="371">
        <v>4.67</v>
      </c>
      <c r="X290" s="371">
        <v>4.68</v>
      </c>
      <c r="Y290" s="381">
        <v>1000</v>
      </c>
    </row>
    <row r="291" spans="1:25" x14ac:dyDescent="0.3">
      <c r="A291" s="378" t="s">
        <v>34</v>
      </c>
      <c r="B291" s="372">
        <v>27</v>
      </c>
      <c r="C291" s="373">
        <v>402.4</v>
      </c>
      <c r="D291" s="373">
        <v>1286</v>
      </c>
      <c r="E291" s="373">
        <v>1257</v>
      </c>
      <c r="F291" s="373">
        <v>1042</v>
      </c>
      <c r="G291" s="373">
        <v>1027</v>
      </c>
      <c r="H291" s="373">
        <v>998.4</v>
      </c>
      <c r="I291" s="373">
        <v>901.4</v>
      </c>
      <c r="J291" s="373">
        <v>849.6</v>
      </c>
      <c r="K291" s="373">
        <v>763.5</v>
      </c>
      <c r="L291" s="373">
        <v>707.1</v>
      </c>
      <c r="M291" s="373">
        <v>655.1</v>
      </c>
      <c r="N291" s="373">
        <v>651.70000000000005</v>
      </c>
      <c r="O291" s="373">
        <v>624.1</v>
      </c>
      <c r="P291" s="373">
        <v>601.29999999999995</v>
      </c>
      <c r="Q291" s="373">
        <v>536.20000000000005</v>
      </c>
      <c r="R291" s="373">
        <v>415.7</v>
      </c>
      <c r="S291" s="373">
        <v>270.2</v>
      </c>
      <c r="T291" s="373">
        <v>140.19999999999999</v>
      </c>
      <c r="U291" s="373">
        <v>76.900000000000006</v>
      </c>
      <c r="V291" s="373">
        <v>54.9</v>
      </c>
      <c r="W291" s="373">
        <v>40.200000000000003</v>
      </c>
      <c r="X291" s="373">
        <v>0</v>
      </c>
      <c r="Y291" s="382">
        <v>0</v>
      </c>
    </row>
    <row r="292" spans="1:25" ht="12.9" thickBot="1" x14ac:dyDescent="0.35">
      <c r="A292" s="379" t="s">
        <v>116</v>
      </c>
      <c r="B292" s="374">
        <f t="shared" ref="B292:V292" si="97">(C291+B291)*(C290-B290)/2</f>
        <v>2.1469999999999998</v>
      </c>
      <c r="C292" s="375">
        <f t="shared" si="97"/>
        <v>75.978000000000009</v>
      </c>
      <c r="D292" s="375">
        <f t="shared" si="97"/>
        <v>25.429999999999989</v>
      </c>
      <c r="E292" s="375">
        <f t="shared" si="97"/>
        <v>160.93</v>
      </c>
      <c r="F292" s="375">
        <f t="shared" si="97"/>
        <v>465.52499999999998</v>
      </c>
      <c r="G292" s="375">
        <f t="shared" si="97"/>
        <v>577.23900000000003</v>
      </c>
      <c r="H292" s="375">
        <f t="shared" si="97"/>
        <v>731.42299999999977</v>
      </c>
      <c r="I292" s="375">
        <f t="shared" si="97"/>
        <v>315.18000000000029</v>
      </c>
      <c r="J292" s="375">
        <f>(K291+J291)*(K290-J290)/2</f>
        <v>338.75099999999992</v>
      </c>
      <c r="K292" s="375">
        <f t="shared" si="97"/>
        <v>308.82599999999991</v>
      </c>
      <c r="L292" s="375">
        <f t="shared" si="97"/>
        <v>272.43999999999994</v>
      </c>
      <c r="M292" s="375">
        <f t="shared" si="97"/>
        <v>98.009999999999962</v>
      </c>
      <c r="N292" s="375">
        <f t="shared" si="97"/>
        <v>127.58000000000013</v>
      </c>
      <c r="O292" s="375">
        <f t="shared" si="97"/>
        <v>61.26999999999979</v>
      </c>
      <c r="P292" s="375">
        <f t="shared" si="97"/>
        <v>51.187500000000426</v>
      </c>
      <c r="Q292" s="375">
        <f t="shared" si="97"/>
        <v>57.113999999999635</v>
      </c>
      <c r="R292" s="375">
        <f t="shared" si="97"/>
        <v>34.295000000000179</v>
      </c>
      <c r="S292" s="375">
        <f>(T291+S291)*(T290-S290)/2</f>
        <v>22.571999999999882</v>
      </c>
      <c r="T292" s="375">
        <f t="shared" si="97"/>
        <v>8.6840000000000082</v>
      </c>
      <c r="U292" s="375">
        <f t="shared" si="97"/>
        <v>3.295000000000047</v>
      </c>
      <c r="V292" s="375">
        <f t="shared" si="97"/>
        <v>0.95099999999997964</v>
      </c>
      <c r="W292" s="375">
        <f>(X291+W291)*(X290-W290)/2</f>
        <v>0.20099999999999574</v>
      </c>
      <c r="X292" s="375">
        <f>(Y291+X291)*(Y290-X290)/2</f>
        <v>0</v>
      </c>
      <c r="Y292" s="369"/>
    </row>
    <row r="293" spans="1:25" ht="12.9" thickBot="1" x14ac:dyDescent="0.35">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row>
    <row r="294" spans="1:25" ht="12.9" thickBot="1" x14ac:dyDescent="0.35">
      <c r="A294" s="361" t="s">
        <v>561</v>
      </c>
      <c r="B294" s="359">
        <f>ROW(A294)</f>
        <v>294</v>
      </c>
      <c r="C294" s="363" t="s">
        <v>115</v>
      </c>
      <c r="D294" s="353">
        <f>SUM(B297:Y297)</f>
        <v>14273.976008499998</v>
      </c>
      <c r="E294" s="363" t="s">
        <v>114</v>
      </c>
      <c r="F294" s="354">
        <f>D294/g/J294</f>
        <v>169.50645688990159</v>
      </c>
      <c r="G294" s="363" t="s">
        <v>56</v>
      </c>
      <c r="H294" s="64">
        <v>13.247999999999999</v>
      </c>
      <c r="I294" s="363" t="s">
        <v>273</v>
      </c>
      <c r="J294" s="355">
        <f>H294-L294</f>
        <v>8.5839999999999996</v>
      </c>
      <c r="K294" s="363" t="s">
        <v>274</v>
      </c>
      <c r="L294" s="64">
        <v>4.6639999999999997</v>
      </c>
      <c r="M294" s="363" t="s">
        <v>57</v>
      </c>
      <c r="N294" s="65">
        <f>R294/2</f>
        <v>505</v>
      </c>
      <c r="O294" s="363" t="s">
        <v>59</v>
      </c>
      <c r="P294" s="65">
        <v>505</v>
      </c>
      <c r="Q294" s="363" t="s">
        <v>60</v>
      </c>
      <c r="R294" s="65">
        <v>1010</v>
      </c>
      <c r="S294" s="363" t="s">
        <v>61</v>
      </c>
      <c r="T294" s="65">
        <v>98</v>
      </c>
      <c r="U294" s="363" t="s">
        <v>54</v>
      </c>
      <c r="V294" s="66" t="s">
        <v>118</v>
      </c>
      <c r="W294" s="12"/>
      <c r="X294" s="12"/>
      <c r="Y294" s="12"/>
    </row>
    <row r="295" spans="1:25" x14ac:dyDescent="0.3">
      <c r="A295" s="362" t="s">
        <v>33</v>
      </c>
      <c r="B295" s="370">
        <v>0</v>
      </c>
      <c r="C295" s="371">
        <v>0.04</v>
      </c>
      <c r="D295" s="371">
        <v>0.08</v>
      </c>
      <c r="E295" s="371">
        <v>0.20100000000000001</v>
      </c>
      <c r="F295" s="371">
        <v>0.44700000000000001</v>
      </c>
      <c r="G295" s="371">
        <v>0.67800000000000005</v>
      </c>
      <c r="H295" s="371">
        <v>0.75800000000000001</v>
      </c>
      <c r="I295" s="371">
        <v>0.85299999999999998</v>
      </c>
      <c r="J295" s="371">
        <v>2.4249999999999998</v>
      </c>
      <c r="K295" s="371">
        <v>2.52</v>
      </c>
      <c r="L295" s="371">
        <v>2.7610000000000001</v>
      </c>
      <c r="M295" s="371">
        <v>3.4340000000000002</v>
      </c>
      <c r="N295" s="371">
        <v>3.7149999999999999</v>
      </c>
      <c r="O295" s="371">
        <v>4.077</v>
      </c>
      <c r="P295" s="371">
        <v>4.96</v>
      </c>
      <c r="Q295" s="371">
        <v>5.492</v>
      </c>
      <c r="R295" s="371">
        <v>6.1050000000000004</v>
      </c>
      <c r="S295" s="371">
        <v>6.4459999999999997</v>
      </c>
      <c r="T295" s="371">
        <v>6.6470000000000002</v>
      </c>
      <c r="U295" s="371">
        <v>7.0739999999999998</v>
      </c>
      <c r="V295" s="371">
        <v>7.2389999999999999</v>
      </c>
      <c r="W295" s="533">
        <v>7.2539999999999996</v>
      </c>
      <c r="X295" s="371">
        <v>8</v>
      </c>
      <c r="Y295" s="381">
        <v>1000</v>
      </c>
    </row>
    <row r="296" spans="1:25" x14ac:dyDescent="0.3">
      <c r="A296" s="378" t="s">
        <v>34</v>
      </c>
      <c r="B296" s="372">
        <v>0</v>
      </c>
      <c r="C296" s="373">
        <v>1382.46</v>
      </c>
      <c r="D296" s="373">
        <v>1699.1469999999999</v>
      </c>
      <c r="E296" s="373">
        <v>1781.364</v>
      </c>
      <c r="F296" s="373">
        <v>1793.5440000000001</v>
      </c>
      <c r="G296" s="373">
        <v>1820.95</v>
      </c>
      <c r="H296" s="373">
        <v>1927.527</v>
      </c>
      <c r="I296" s="373">
        <v>1842.2660000000001</v>
      </c>
      <c r="J296" s="373">
        <v>2088.9160000000002</v>
      </c>
      <c r="K296" s="373">
        <v>2180.268</v>
      </c>
      <c r="L296" s="373">
        <v>2198.538</v>
      </c>
      <c r="M296" s="373">
        <v>2213.7640000000001</v>
      </c>
      <c r="N296" s="373">
        <v>2268.5749999999998</v>
      </c>
      <c r="O296" s="373">
        <v>2299.0259999999998</v>
      </c>
      <c r="P296" s="373">
        <v>2238.1239999999998</v>
      </c>
      <c r="Q296" s="373">
        <v>2161.998</v>
      </c>
      <c r="R296" s="373">
        <v>2024.97</v>
      </c>
      <c r="S296" s="373">
        <v>1878.806</v>
      </c>
      <c r="T296" s="373">
        <v>1668.6969999999999</v>
      </c>
      <c r="U296" s="373">
        <v>602.923</v>
      </c>
      <c r="V296" s="373">
        <v>140.07300000000001</v>
      </c>
      <c r="W296" s="373">
        <v>0</v>
      </c>
      <c r="X296" s="373">
        <v>0</v>
      </c>
      <c r="Y296" s="382">
        <v>0</v>
      </c>
    </row>
    <row r="297" spans="1:25" ht="12.9" thickBot="1" x14ac:dyDescent="0.35">
      <c r="A297" s="379" t="s">
        <v>116</v>
      </c>
      <c r="B297" s="374">
        <f t="shared" ref="B297:X297" si="98">(C296+B296)*(C295-B295)/2</f>
        <v>27.6492</v>
      </c>
      <c r="C297" s="375">
        <f t="shared" si="98"/>
        <v>61.63214</v>
      </c>
      <c r="D297" s="375">
        <f t="shared" si="98"/>
        <v>210.57091550000001</v>
      </c>
      <c r="E297" s="375">
        <f t="shared" si="98"/>
        <v>439.71368400000006</v>
      </c>
      <c r="F297" s="375">
        <f t="shared" si="98"/>
        <v>417.47405700000007</v>
      </c>
      <c r="G297" s="375">
        <f t="shared" si="98"/>
        <v>149.93907999999993</v>
      </c>
      <c r="H297" s="375">
        <f t="shared" si="98"/>
        <v>179.06516749999994</v>
      </c>
      <c r="I297" s="375">
        <f t="shared" si="98"/>
        <v>3089.909052</v>
      </c>
      <c r="J297" s="375">
        <f t="shared" si="98"/>
        <v>202.78624000000042</v>
      </c>
      <c r="K297" s="375">
        <f t="shared" si="98"/>
        <v>527.64612300000033</v>
      </c>
      <c r="L297" s="375">
        <f t="shared" si="98"/>
        <v>1484.7396229999999</v>
      </c>
      <c r="M297" s="375">
        <f t="shared" si="98"/>
        <v>629.76862949999929</v>
      </c>
      <c r="N297" s="375">
        <f t="shared" si="98"/>
        <v>826.7357810000002</v>
      </c>
      <c r="O297" s="375">
        <f t="shared" si="98"/>
        <v>2003.1517249999999</v>
      </c>
      <c r="P297" s="375">
        <f t="shared" si="98"/>
        <v>1170.432452</v>
      </c>
      <c r="Q297" s="375">
        <f t="shared" si="98"/>
        <v>1283.3056920000008</v>
      </c>
      <c r="R297" s="375">
        <f t="shared" si="98"/>
        <v>665.5938079999986</v>
      </c>
      <c r="S297" s="375">
        <f t="shared" si="98"/>
        <v>356.52405150000089</v>
      </c>
      <c r="T297" s="375">
        <f t="shared" si="98"/>
        <v>484.99086999999952</v>
      </c>
      <c r="U297" s="375">
        <f t="shared" si="98"/>
        <v>61.297170000000008</v>
      </c>
      <c r="V297" s="375">
        <f t="shared" si="98"/>
        <v>1.0505474999999778</v>
      </c>
      <c r="W297" s="375">
        <f t="shared" si="98"/>
        <v>0</v>
      </c>
      <c r="X297" s="375">
        <f t="shared" si="98"/>
        <v>0</v>
      </c>
      <c r="Y297" s="369"/>
    </row>
    <row r="298" spans="1:25" ht="12.9" thickBot="1" x14ac:dyDescent="0.35">
      <c r="A298" s="12"/>
      <c r="L298" s="12"/>
      <c r="M298" s="12"/>
      <c r="N298" s="12"/>
      <c r="O298" s="12"/>
      <c r="P298" s="12"/>
      <c r="Q298" s="12"/>
      <c r="R298" s="12"/>
      <c r="S298" s="12"/>
      <c r="T298" s="12"/>
      <c r="U298" s="12"/>
      <c r="V298" s="12"/>
      <c r="W298" s="12"/>
      <c r="X298" s="12"/>
      <c r="Y298" s="12"/>
    </row>
    <row r="299" spans="1:25" ht="12.9" thickBot="1" x14ac:dyDescent="0.35">
      <c r="A299" s="361" t="s">
        <v>320</v>
      </c>
      <c r="B299" s="359">
        <f>ROW(A299)</f>
        <v>299</v>
      </c>
      <c r="C299" s="363" t="s">
        <v>115</v>
      </c>
      <c r="D299" s="353">
        <f>SUM(B302:Y302)</f>
        <v>7412.4371409999985</v>
      </c>
      <c r="E299" s="363" t="s">
        <v>114</v>
      </c>
      <c r="F299" s="354">
        <f>D299/g/J299</f>
        <v>223.28608637999045</v>
      </c>
      <c r="G299" s="363" t="s">
        <v>56</v>
      </c>
      <c r="H299" s="64">
        <v>6.25</v>
      </c>
      <c r="I299" s="363" t="s">
        <v>273</v>
      </c>
      <c r="J299" s="355">
        <f>H299-L299</f>
        <v>3.3839999999999999</v>
      </c>
      <c r="K299" s="363" t="s">
        <v>274</v>
      </c>
      <c r="L299" s="64">
        <v>2.8660000000000001</v>
      </c>
      <c r="M299" s="363" t="s">
        <v>57</v>
      </c>
      <c r="N299" s="65">
        <v>290</v>
      </c>
      <c r="O299" s="363" t="s">
        <v>59</v>
      </c>
      <c r="P299" s="65">
        <v>290</v>
      </c>
      <c r="Q299" s="363" t="s">
        <v>60</v>
      </c>
      <c r="R299" s="65">
        <v>579</v>
      </c>
      <c r="S299" s="363" t="s">
        <v>61</v>
      </c>
      <c r="T299" s="65">
        <v>98</v>
      </c>
      <c r="U299" s="363" t="s">
        <v>54</v>
      </c>
      <c r="V299" s="66" t="s">
        <v>118</v>
      </c>
      <c r="W299" s="12"/>
      <c r="X299" s="12"/>
      <c r="Y299" s="12"/>
    </row>
    <row r="300" spans="1:25" x14ac:dyDescent="0.3">
      <c r="A300" s="362" t="s">
        <v>33</v>
      </c>
      <c r="B300" s="370">
        <v>0</v>
      </c>
      <c r="C300" s="371">
        <v>1.7000000000000001E-2</v>
      </c>
      <c r="D300" s="371">
        <v>5.1999999999999998E-2</v>
      </c>
      <c r="E300" s="371">
        <v>8.7999999999999995E-2</v>
      </c>
      <c r="F300" s="371">
        <v>0.108</v>
      </c>
      <c r="G300" s="371">
        <v>0.127</v>
      </c>
      <c r="H300" s="371">
        <v>0.17399999999999999</v>
      </c>
      <c r="I300" s="371">
        <v>0.25700000000000001</v>
      </c>
      <c r="J300" s="371">
        <v>0.40300000000000002</v>
      </c>
      <c r="K300" s="371">
        <v>0.76200000000000001</v>
      </c>
      <c r="L300" s="371">
        <v>0.97699999999999998</v>
      </c>
      <c r="M300" s="371">
        <v>1.341</v>
      </c>
      <c r="N300" s="371">
        <v>1.5009999999999999</v>
      </c>
      <c r="O300" s="371">
        <v>1.661</v>
      </c>
      <c r="P300" s="371">
        <v>1.96</v>
      </c>
      <c r="Q300" s="371">
        <v>2.4039999999999999</v>
      </c>
      <c r="R300" s="371">
        <v>2.641</v>
      </c>
      <c r="S300" s="371">
        <v>2.7160000000000002</v>
      </c>
      <c r="T300" s="371">
        <v>2.8210000000000002</v>
      </c>
      <c r="U300" s="371">
        <v>2.8919999999999999</v>
      </c>
      <c r="V300" s="371">
        <v>2.92</v>
      </c>
      <c r="W300" s="371">
        <v>2.97</v>
      </c>
      <c r="X300" s="371">
        <v>3</v>
      </c>
      <c r="Y300" s="381">
        <v>1000</v>
      </c>
    </row>
    <row r="301" spans="1:25" x14ac:dyDescent="0.3">
      <c r="A301" s="378" t="s">
        <v>34</v>
      </c>
      <c r="B301" s="372">
        <v>0</v>
      </c>
      <c r="C301" s="373">
        <v>329.84699999999998</v>
      </c>
      <c r="D301" s="373">
        <v>1003.68</v>
      </c>
      <c r="E301" s="373">
        <v>2346.62</v>
      </c>
      <c r="F301" s="373">
        <v>2549.2399999999998</v>
      </c>
      <c r="G301" s="373">
        <v>2605.79</v>
      </c>
      <c r="H301" s="373">
        <v>2520.9699999999998</v>
      </c>
      <c r="I301" s="373">
        <v>2516.2600000000002</v>
      </c>
      <c r="J301" s="373">
        <v>2596.37</v>
      </c>
      <c r="K301" s="373">
        <v>2808.41</v>
      </c>
      <c r="L301" s="373">
        <v>2954.49</v>
      </c>
      <c r="M301" s="373">
        <v>2959.2</v>
      </c>
      <c r="N301" s="373">
        <v>2907.36</v>
      </c>
      <c r="O301" s="373">
        <v>2869.67</v>
      </c>
      <c r="P301" s="373">
        <v>2695.32</v>
      </c>
      <c r="Q301" s="373">
        <v>2351.34</v>
      </c>
      <c r="R301" s="373">
        <v>2228.8200000000002</v>
      </c>
      <c r="S301" s="373">
        <v>2007.35</v>
      </c>
      <c r="T301" s="373">
        <v>1427.77</v>
      </c>
      <c r="U301" s="373">
        <v>504.19400000000002</v>
      </c>
      <c r="V301" s="373">
        <v>334.55900000000003</v>
      </c>
      <c r="W301" s="373">
        <v>122.515</v>
      </c>
      <c r="X301" s="373">
        <v>0</v>
      </c>
      <c r="Y301" s="382">
        <v>0</v>
      </c>
    </row>
    <row r="302" spans="1:25" ht="12.9" thickBot="1" x14ac:dyDescent="0.35">
      <c r="A302" s="379" t="s">
        <v>116</v>
      </c>
      <c r="B302" s="374">
        <f t="shared" ref="B302:X302" si="99">(C301+B301)*(C300-B300)/2</f>
        <v>2.8036995</v>
      </c>
      <c r="C302" s="375">
        <f t="shared" si="99"/>
        <v>23.336722499999997</v>
      </c>
      <c r="D302" s="375">
        <f t="shared" si="99"/>
        <v>60.305399999999992</v>
      </c>
      <c r="E302" s="375">
        <f t="shared" si="99"/>
        <v>48.958600000000004</v>
      </c>
      <c r="F302" s="375">
        <f t="shared" si="99"/>
        <v>48.972785000000002</v>
      </c>
      <c r="G302" s="375">
        <f t="shared" si="99"/>
        <v>120.47885999999997</v>
      </c>
      <c r="H302" s="375">
        <f t="shared" si="99"/>
        <v>209.04504500000002</v>
      </c>
      <c r="I302" s="375">
        <f t="shared" si="99"/>
        <v>373.22199000000006</v>
      </c>
      <c r="J302" s="375">
        <f t="shared" si="99"/>
        <v>970.15800999999988</v>
      </c>
      <c r="K302" s="375">
        <f t="shared" si="99"/>
        <v>619.51174999999989</v>
      </c>
      <c r="L302" s="375">
        <f t="shared" si="99"/>
        <v>1076.2915799999998</v>
      </c>
      <c r="M302" s="375">
        <f t="shared" si="99"/>
        <v>469.3247999999997</v>
      </c>
      <c r="N302" s="375">
        <f t="shared" si="99"/>
        <v>462.16240000000045</v>
      </c>
      <c r="O302" s="375">
        <f t="shared" si="99"/>
        <v>831.96600499999977</v>
      </c>
      <c r="P302" s="375">
        <f t="shared" si="99"/>
        <v>1120.3585199999998</v>
      </c>
      <c r="Q302" s="375">
        <f t="shared" si="99"/>
        <v>542.74896000000024</v>
      </c>
      <c r="R302" s="375">
        <f t="shared" si="99"/>
        <v>158.85637500000038</v>
      </c>
      <c r="S302" s="375">
        <f t="shared" si="99"/>
        <v>180.34379999999996</v>
      </c>
      <c r="T302" s="375">
        <f t="shared" si="99"/>
        <v>68.584721999999744</v>
      </c>
      <c r="U302" s="375">
        <f t="shared" si="99"/>
        <v>11.742542000000011</v>
      </c>
      <c r="V302" s="375">
        <f t="shared" si="99"/>
        <v>11.42685000000006</v>
      </c>
      <c r="W302" s="375">
        <f t="shared" si="99"/>
        <v>1.8377249999999881</v>
      </c>
      <c r="X302" s="375">
        <f t="shared" si="99"/>
        <v>0</v>
      </c>
      <c r="Y302" s="369"/>
    </row>
    <row r="303" spans="1:25" ht="12.9" thickBot="1" x14ac:dyDescent="0.35">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row>
    <row r="304" spans="1:25" ht="12.9" thickBot="1" x14ac:dyDescent="0.35">
      <c r="A304" s="361" t="s">
        <v>556</v>
      </c>
      <c r="B304" s="359">
        <f>ROW(A304)</f>
        <v>304</v>
      </c>
      <c r="C304" s="363" t="s">
        <v>115</v>
      </c>
      <c r="D304" s="353">
        <f>SUM(B307:Y307)</f>
        <v>17734.977350500001</v>
      </c>
      <c r="E304" s="363" t="s">
        <v>114</v>
      </c>
      <c r="F304" s="354">
        <f>D304/g/J304</f>
        <v>192.73420306179892</v>
      </c>
      <c r="G304" s="363" t="s">
        <v>56</v>
      </c>
      <c r="H304" s="64">
        <v>14.747999999999999</v>
      </c>
      <c r="I304" s="363" t="s">
        <v>273</v>
      </c>
      <c r="J304" s="355">
        <f>H304-L304</f>
        <v>9.379999999999999</v>
      </c>
      <c r="K304" s="363" t="s">
        <v>274</v>
      </c>
      <c r="L304" s="64">
        <v>5.3680000000000003</v>
      </c>
      <c r="M304" s="363" t="s">
        <v>57</v>
      </c>
      <c r="N304" s="65">
        <v>500</v>
      </c>
      <c r="O304" s="363" t="s">
        <v>59</v>
      </c>
      <c r="P304" s="65">
        <v>500</v>
      </c>
      <c r="Q304" s="363" t="s">
        <v>60</v>
      </c>
      <c r="R304" s="65">
        <v>1046</v>
      </c>
      <c r="S304" s="363" t="s">
        <v>61</v>
      </c>
      <c r="T304" s="65">
        <v>98</v>
      </c>
      <c r="U304" s="363" t="s">
        <v>54</v>
      </c>
      <c r="V304" s="66" t="s">
        <v>118</v>
      </c>
      <c r="W304" s="12"/>
      <c r="X304" s="12"/>
      <c r="Y304" s="12"/>
    </row>
    <row r="305" spans="1:25" x14ac:dyDescent="0.3">
      <c r="A305" s="362" t="s">
        <v>33</v>
      </c>
      <c r="B305" s="370">
        <v>0</v>
      </c>
      <c r="C305" s="371">
        <v>3.0000000000000001E-3</v>
      </c>
      <c r="D305" s="371">
        <v>0.05</v>
      </c>
      <c r="E305" s="371">
        <v>7.8E-2</v>
      </c>
      <c r="F305" s="371">
        <v>0.121</v>
      </c>
      <c r="G305" s="371">
        <v>0.65200000000000002</v>
      </c>
      <c r="H305" s="371">
        <v>1.123</v>
      </c>
      <c r="I305" s="371">
        <v>1.655</v>
      </c>
      <c r="J305" s="371">
        <v>2.3530000000000002</v>
      </c>
      <c r="K305" s="371">
        <v>3.0350000000000001</v>
      </c>
      <c r="L305" s="371">
        <v>3.7</v>
      </c>
      <c r="M305" s="371">
        <v>3.7330000000000001</v>
      </c>
      <c r="N305" s="371">
        <v>3.887</v>
      </c>
      <c r="O305" s="371">
        <v>4.0359999999999996</v>
      </c>
      <c r="P305" s="371">
        <v>4.1970000000000001</v>
      </c>
      <c r="Q305" s="371">
        <v>4.2619999999999996</v>
      </c>
      <c r="R305" s="371">
        <v>4.3</v>
      </c>
      <c r="S305" s="371">
        <v>5</v>
      </c>
      <c r="T305" s="371">
        <v>5</v>
      </c>
      <c r="U305" s="371">
        <v>5</v>
      </c>
      <c r="V305" s="371">
        <v>5</v>
      </c>
      <c r="W305" s="371">
        <v>5</v>
      </c>
      <c r="X305" s="371">
        <v>5</v>
      </c>
      <c r="Y305" s="381">
        <v>1000</v>
      </c>
    </row>
    <row r="306" spans="1:25" x14ac:dyDescent="0.3">
      <c r="A306" s="378" t="s">
        <v>34</v>
      </c>
      <c r="B306" s="372">
        <v>0</v>
      </c>
      <c r="C306" s="373">
        <v>203.87700000000001</v>
      </c>
      <c r="D306" s="373">
        <v>2362.8789999999999</v>
      </c>
      <c r="E306" s="373">
        <v>3946.8449999999998</v>
      </c>
      <c r="F306" s="373">
        <v>4281.4120000000003</v>
      </c>
      <c r="G306" s="373">
        <v>4370.2809999999999</v>
      </c>
      <c r="H306" s="373">
        <v>4453.9229999999998</v>
      </c>
      <c r="I306" s="373">
        <v>4772.8069999999998</v>
      </c>
      <c r="J306" s="373">
        <v>4621.2060000000001</v>
      </c>
      <c r="K306" s="373">
        <v>4511.4269999999997</v>
      </c>
      <c r="L306" s="373">
        <v>4375.509</v>
      </c>
      <c r="M306" s="373">
        <v>4182.0870000000004</v>
      </c>
      <c r="N306" s="373">
        <v>2969.2820000000002</v>
      </c>
      <c r="O306" s="373">
        <v>1589.193</v>
      </c>
      <c r="P306" s="373">
        <v>533.21600000000001</v>
      </c>
      <c r="Q306" s="373">
        <v>240.47</v>
      </c>
      <c r="R306" s="373">
        <v>0</v>
      </c>
      <c r="S306" s="373">
        <v>0</v>
      </c>
      <c r="T306" s="373">
        <v>0</v>
      </c>
      <c r="U306" s="373">
        <v>0</v>
      </c>
      <c r="V306" s="373">
        <v>0</v>
      </c>
      <c r="W306" s="373">
        <v>0</v>
      </c>
      <c r="X306" s="373">
        <v>0</v>
      </c>
      <c r="Y306" s="382">
        <v>0</v>
      </c>
    </row>
    <row r="307" spans="1:25" ht="12.9" thickBot="1" x14ac:dyDescent="0.35">
      <c r="A307" s="379" t="s">
        <v>116</v>
      </c>
      <c r="B307" s="374">
        <f t="shared" ref="B307" si="100">(C306+B306)*(C305-B305)/2</f>
        <v>0.30581550000000002</v>
      </c>
      <c r="C307" s="375">
        <f t="shared" ref="C307" si="101">(D306+C306)*(D305-C305)/2</f>
        <v>60.318765999999997</v>
      </c>
      <c r="D307" s="375">
        <f t="shared" ref="D307" si="102">(E306+D306)*(E305-D305)/2</f>
        <v>88.336135999999996</v>
      </c>
      <c r="E307" s="375">
        <f t="shared" ref="E307" si="103">(F306+E306)*(F305-E305)/2</f>
        <v>176.90752549999999</v>
      </c>
      <c r="F307" s="375">
        <f t="shared" ref="F307" si="104">(G306+F306)*(G305-F305)/2</f>
        <v>2297.0244914999998</v>
      </c>
      <c r="G307" s="375">
        <f t="shared" ref="G307" si="105">(H306+G306)*(H305-G305)/2</f>
        <v>2078.100042</v>
      </c>
      <c r="H307" s="375">
        <f t="shared" ref="H307" si="106">(I306+H306)*(I305-H305)/2</f>
        <v>2454.3101799999999</v>
      </c>
      <c r="I307" s="375">
        <f t="shared" ref="I307" si="107">(J306+I306)*(J305-I305)/2</f>
        <v>3278.5105370000006</v>
      </c>
      <c r="J307" s="375">
        <f t="shared" ref="J307" si="108">(K306+J306)*(K305-J305)/2</f>
        <v>3114.2278529999999</v>
      </c>
      <c r="K307" s="375">
        <f t="shared" ref="K307" si="109">(L306+K306)*(L305-K305)/2</f>
        <v>2954.9062199999998</v>
      </c>
      <c r="L307" s="375">
        <f t="shared" ref="L307" si="110">(M306+L306)*(M305-L305)/2</f>
        <v>141.20033399999969</v>
      </c>
      <c r="M307" s="375">
        <f t="shared" ref="M307" si="111">(N306+M306)*(N305-M305)/2</f>
        <v>550.65541299999973</v>
      </c>
      <c r="N307" s="375">
        <f t="shared" ref="N307" si="112">(O306+N306)*(O305-N305)/2</f>
        <v>339.60638749999907</v>
      </c>
      <c r="O307" s="375">
        <f t="shared" ref="O307" si="113">(P306+O306)*(P305-O305)/2</f>
        <v>170.85392450000052</v>
      </c>
      <c r="P307" s="375">
        <f t="shared" ref="P307" si="114">(Q306+P306)*(Q305-P305)/2</f>
        <v>25.14479499999981</v>
      </c>
      <c r="Q307" s="375">
        <f t="shared" ref="Q307" si="115">(R306+Q306)*(R305-Q305)/2</f>
        <v>4.568930000000031</v>
      </c>
      <c r="R307" s="375">
        <f t="shared" ref="R307" si="116">(S306+R306)*(S305-R305)/2</f>
        <v>0</v>
      </c>
      <c r="S307" s="375">
        <f t="shared" ref="S307" si="117">(T306+S306)*(T305-S305)/2</f>
        <v>0</v>
      </c>
      <c r="T307" s="375">
        <f t="shared" ref="T307" si="118">(U306+T306)*(U305-T305)/2</f>
        <v>0</v>
      </c>
      <c r="U307" s="375">
        <f t="shared" ref="U307" si="119">(V306+U306)*(V305-U305)/2</f>
        <v>0</v>
      </c>
      <c r="V307" s="375">
        <f t="shared" ref="V307" si="120">(W306+V306)*(W305-V305)/2</f>
        <v>0</v>
      </c>
      <c r="W307" s="375">
        <f t="shared" ref="W307" si="121">(X306+W306)*(X305-W305)/2</f>
        <v>0</v>
      </c>
      <c r="X307" s="375">
        <f t="shared" ref="X307" si="122">(Y306+X306)*(Y305-X305)/2</f>
        <v>0</v>
      </c>
      <c r="Y307" s="369"/>
    </row>
    <row r="308" spans="1:25" ht="12.9" thickBot="1" x14ac:dyDescent="0.35">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row>
    <row r="309" spans="1:25" ht="12.9" thickBot="1" x14ac:dyDescent="0.35">
      <c r="A309" s="361" t="s">
        <v>44</v>
      </c>
      <c r="B309" s="359">
        <f>ROW(A309)</f>
        <v>309</v>
      </c>
      <c r="C309" s="363" t="s">
        <v>115</v>
      </c>
      <c r="D309" s="353">
        <f>SUM(B312:Y312)</f>
        <v>1E-3</v>
      </c>
      <c r="E309" s="363" t="s">
        <v>114</v>
      </c>
      <c r="F309" s="354">
        <f>D309/g/J309</f>
        <v>1.019367991845056</v>
      </c>
      <c r="G309" s="363" t="s">
        <v>56</v>
      </c>
      <c r="H309" s="64">
        <v>1E-4</v>
      </c>
      <c r="I309" s="363" t="s">
        <v>273</v>
      </c>
      <c r="J309" s="355">
        <f>H309-L309</f>
        <v>1E-4</v>
      </c>
      <c r="K309" s="363" t="s">
        <v>274</v>
      </c>
      <c r="L309" s="64">
        <v>0</v>
      </c>
      <c r="M309" s="363" t="s">
        <v>57</v>
      </c>
      <c r="N309" s="65">
        <v>0</v>
      </c>
      <c r="O309" s="363" t="s">
        <v>59</v>
      </c>
      <c r="P309" s="65">
        <v>0</v>
      </c>
      <c r="Q309" s="363" t="s">
        <v>60</v>
      </c>
      <c r="R309" s="65">
        <v>0</v>
      </c>
      <c r="S309" s="363" t="s">
        <v>61</v>
      </c>
      <c r="T309" s="65">
        <v>0</v>
      </c>
      <c r="U309" s="363" t="s">
        <v>54</v>
      </c>
      <c r="V309" s="66" t="s">
        <v>118</v>
      </c>
      <c r="W309" s="12"/>
      <c r="X309" s="12"/>
      <c r="Y309" s="12"/>
    </row>
    <row r="310" spans="1:25" x14ac:dyDescent="0.3">
      <c r="A310" s="362" t="s">
        <v>33</v>
      </c>
      <c r="B310" s="370">
        <v>0</v>
      </c>
      <c r="C310" s="371">
        <v>0.1</v>
      </c>
      <c r="D310" s="371">
        <v>0.2</v>
      </c>
      <c r="E310" s="371">
        <v>1</v>
      </c>
      <c r="F310" s="371">
        <v>1</v>
      </c>
      <c r="G310" s="371">
        <v>1</v>
      </c>
      <c r="H310" s="371">
        <v>1</v>
      </c>
      <c r="I310" s="371">
        <v>1</v>
      </c>
      <c r="J310" s="371">
        <v>1</v>
      </c>
      <c r="K310" s="371">
        <v>1</v>
      </c>
      <c r="L310" s="371">
        <v>1</v>
      </c>
      <c r="M310" s="371">
        <v>1</v>
      </c>
      <c r="N310" s="371">
        <v>1</v>
      </c>
      <c r="O310" s="371">
        <v>1</v>
      </c>
      <c r="P310" s="371">
        <v>1</v>
      </c>
      <c r="Q310" s="371">
        <v>1</v>
      </c>
      <c r="R310" s="371">
        <v>1</v>
      </c>
      <c r="S310" s="371">
        <v>1</v>
      </c>
      <c r="T310" s="371">
        <v>1</v>
      </c>
      <c r="U310" s="371">
        <v>1</v>
      </c>
      <c r="V310" s="371">
        <v>1</v>
      </c>
      <c r="W310" s="371">
        <v>1</v>
      </c>
      <c r="X310" s="371">
        <v>1</v>
      </c>
      <c r="Y310" s="381">
        <v>1000</v>
      </c>
    </row>
    <row r="311" spans="1:25" x14ac:dyDescent="0.3">
      <c r="A311" s="378" t="s">
        <v>34</v>
      </c>
      <c r="B311" s="372">
        <v>0</v>
      </c>
      <c r="C311" s="373">
        <v>0.01</v>
      </c>
      <c r="D311" s="373">
        <v>0</v>
      </c>
      <c r="E311" s="373">
        <v>0</v>
      </c>
      <c r="F311" s="373">
        <v>0</v>
      </c>
      <c r="G311" s="373">
        <v>0</v>
      </c>
      <c r="H311" s="373">
        <v>0</v>
      </c>
      <c r="I311" s="373">
        <v>0</v>
      </c>
      <c r="J311" s="373">
        <v>0</v>
      </c>
      <c r="K311" s="373">
        <v>0</v>
      </c>
      <c r="L311" s="373">
        <v>0</v>
      </c>
      <c r="M311" s="373">
        <v>0</v>
      </c>
      <c r="N311" s="373">
        <v>0</v>
      </c>
      <c r="O311" s="373">
        <v>0</v>
      </c>
      <c r="P311" s="373">
        <v>0</v>
      </c>
      <c r="Q311" s="373">
        <v>0</v>
      </c>
      <c r="R311" s="373">
        <v>0</v>
      </c>
      <c r="S311" s="373">
        <v>0</v>
      </c>
      <c r="T311" s="373">
        <v>0</v>
      </c>
      <c r="U311" s="373">
        <v>0</v>
      </c>
      <c r="V311" s="373">
        <v>0</v>
      </c>
      <c r="W311" s="373">
        <v>0</v>
      </c>
      <c r="X311" s="373">
        <v>0</v>
      </c>
      <c r="Y311" s="382">
        <v>0</v>
      </c>
    </row>
    <row r="312" spans="1:25" ht="12.9" thickBot="1" x14ac:dyDescent="0.35">
      <c r="A312" s="379" t="s">
        <v>116</v>
      </c>
      <c r="B312" s="374">
        <f t="shared" ref="B312:G312" si="123">(C311+B311)*(C310-B310)/2</f>
        <v>5.0000000000000001E-4</v>
      </c>
      <c r="C312" s="375">
        <f t="shared" si="123"/>
        <v>5.0000000000000001E-4</v>
      </c>
      <c r="D312" s="375">
        <f t="shared" si="123"/>
        <v>0</v>
      </c>
      <c r="E312" s="375">
        <f t="shared" si="123"/>
        <v>0</v>
      </c>
      <c r="F312" s="375">
        <f t="shared" si="123"/>
        <v>0</v>
      </c>
      <c r="G312" s="375">
        <f t="shared" si="123"/>
        <v>0</v>
      </c>
      <c r="H312" s="375">
        <f t="shared" ref="H312:V312" si="124">(I311+H311)*(I310-H310)/2</f>
        <v>0</v>
      </c>
      <c r="I312" s="375">
        <f t="shared" si="124"/>
        <v>0</v>
      </c>
      <c r="J312" s="375">
        <f>(K311+J311)*(K310-J310)/2</f>
        <v>0</v>
      </c>
      <c r="K312" s="375">
        <f t="shared" si="124"/>
        <v>0</v>
      </c>
      <c r="L312" s="375">
        <f t="shared" si="124"/>
        <v>0</v>
      </c>
      <c r="M312" s="375">
        <f t="shared" si="124"/>
        <v>0</v>
      </c>
      <c r="N312" s="375">
        <f t="shared" si="124"/>
        <v>0</v>
      </c>
      <c r="O312" s="375">
        <f t="shared" si="124"/>
        <v>0</v>
      </c>
      <c r="P312" s="375">
        <f t="shared" si="124"/>
        <v>0</v>
      </c>
      <c r="Q312" s="375">
        <f t="shared" si="124"/>
        <v>0</v>
      </c>
      <c r="R312" s="375">
        <f t="shared" si="124"/>
        <v>0</v>
      </c>
      <c r="S312" s="375">
        <f>(T311+S311)*(T310-S310)/2</f>
        <v>0</v>
      </c>
      <c r="T312" s="375">
        <f t="shared" si="124"/>
        <v>0</v>
      </c>
      <c r="U312" s="375">
        <f t="shared" si="124"/>
        <v>0</v>
      </c>
      <c r="V312" s="375">
        <f t="shared" si="124"/>
        <v>0</v>
      </c>
      <c r="W312" s="375">
        <f>(X311+W311)*(X310-W310)/2</f>
        <v>0</v>
      </c>
      <c r="X312" s="375">
        <f>(Y311+X311)*(Y310-X310)/2</f>
        <v>0</v>
      </c>
      <c r="Y312" s="369"/>
    </row>
    <row r="314" spans="1:25" x14ac:dyDescent="0.3">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row>
    <row r="316" spans="1:25" x14ac:dyDescent="0.3">
      <c r="A316" s="397" t="str">
        <f>IF(Lang="Français","Liste des propu affichés :","Motor list (shown):")</f>
        <v>Liste des propu affichés :</v>
      </c>
      <c r="C316" s="651" t="s">
        <v>278</v>
      </c>
      <c r="D316" s="652"/>
      <c r="F316" s="651" t="s">
        <v>183</v>
      </c>
      <c r="G316" s="652"/>
      <c r="H316" s="12"/>
      <c r="I316" s="651" t="s">
        <v>399</v>
      </c>
      <c r="J316" s="652"/>
      <c r="K316" s="12"/>
      <c r="L316" s="651" t="s">
        <v>184</v>
      </c>
      <c r="M316" s="652"/>
      <c r="O316" s="651" t="s">
        <v>398</v>
      </c>
      <c r="P316" s="652"/>
      <c r="R316" s="651" t="s">
        <v>118</v>
      </c>
      <c r="S316" s="652"/>
    </row>
    <row r="317" spans="1:25" x14ac:dyDescent="0.3">
      <c r="A317" s="398" t="str">
        <f t="array" ref="A317:A346">IF(RIGHT(Type_fusee,1)=".",Liste_fusex, IF(LEFT(Type_fusee,4)="Mini",Liste_minif, IF(LEFT(Type_fusee,5)="Micro",Liste_µfu, IF(RIGHT(Type_fusee,1)=" ",Liste_H2O, IF(LEFT(Type_fusee,1)="R",Liste_RC, IF(LEFT(Type_fusee,1)=",",Liste_minifT))))))</f>
        <v>p29-1G 57F59</v>
      </c>
      <c r="C317" s="643" t="str">
        <f>A26</f>
        <v>H2O 1.5L 300g 6bar</v>
      </c>
      <c r="D317" s="644"/>
      <c r="F317" s="643" t="str">
        <f>A67</f>
        <v>µ-propu A8-3</v>
      </c>
      <c r="G317" s="644"/>
      <c r="H317" s="472"/>
      <c r="I317" s="641" t="str">
        <f>A148</f>
        <v>p29-1G 56F31</v>
      </c>
      <c r="J317" s="642"/>
      <c r="K317" s="472"/>
      <c r="L317" s="641" t="str">
        <f>A158</f>
        <v>p29-1G 57F59</v>
      </c>
      <c r="M317" s="642"/>
      <c r="O317" s="643" t="str">
        <f>A108</f>
        <v>p24-1G 24E22</v>
      </c>
      <c r="P317" s="644"/>
      <c r="R317" s="643" t="str">
        <f>A284</f>
        <v>Pro54-5G WT</v>
      </c>
      <c r="S317" s="644"/>
    </row>
    <row r="318" spans="1:25" x14ac:dyDescent="0.3">
      <c r="A318" s="398" t="str">
        <v>p24-3G 74F85</v>
      </c>
      <c r="C318" s="643" t="str">
        <f>A31</f>
        <v>H2O 1.5L 450g 6bar</v>
      </c>
      <c r="D318" s="644"/>
      <c r="F318" s="643" t="str">
        <f>A72</f>
        <v>µ-propu B4-4</v>
      </c>
      <c r="G318" s="644"/>
      <c r="H318" s="472"/>
      <c r="I318" s="641" t="str">
        <f>A153</f>
        <v>p29-1G 56F120</v>
      </c>
      <c r="J318" s="642"/>
      <c r="K318" s="472"/>
      <c r="L318" s="641" t="str">
        <f>A183</f>
        <v>p24-3G 74F85</v>
      </c>
      <c r="M318" s="642"/>
      <c r="O318" s="643" t="str">
        <f>A113</f>
        <v>p24-1G 25E75 (Rufina)</v>
      </c>
      <c r="P318" s="644"/>
      <c r="R318" s="643" t="str">
        <f>A279</f>
        <v>Barasinga (Pro54-5G C)</v>
      </c>
      <c r="S318" s="644"/>
    </row>
    <row r="319" spans="1:25" x14ac:dyDescent="0.3">
      <c r="A319" s="398" t="str">
        <v>p24-3G 75F51</v>
      </c>
      <c r="C319" s="643" t="str">
        <f>A36</f>
        <v>H2O 1.5L 600g 6bar</v>
      </c>
      <c r="D319" s="644"/>
      <c r="F319" s="643" t="str">
        <f>A77</f>
        <v>µ-propu C6-3</v>
      </c>
      <c r="G319" s="644"/>
      <c r="H319" s="472"/>
      <c r="I319" s="641" t="str">
        <f>A158</f>
        <v>p29-1G 57F59</v>
      </c>
      <c r="J319" s="642"/>
      <c r="K319" s="472"/>
      <c r="L319" s="641" t="str">
        <f>A188</f>
        <v>p24-3G 75F51</v>
      </c>
      <c r="M319" s="642"/>
      <c r="O319" s="643" t="str">
        <f>A118</f>
        <v>p24-1G 26E31</v>
      </c>
      <c r="P319" s="644"/>
      <c r="R319" s="643" t="str">
        <f>A289</f>
        <v>Orignal (Pro75-3G C)</v>
      </c>
      <c r="S319" s="644"/>
    </row>
    <row r="320" spans="1:25" x14ac:dyDescent="0.3">
      <c r="A320" s="398" t="str">
        <v>p29-2G 116G126</v>
      </c>
      <c r="C320" s="643" t="str">
        <f>A41</f>
        <v>H2O 1.5L 750g 6bar</v>
      </c>
      <c r="D320" s="644"/>
      <c r="F320" s="643" t="str">
        <f>A82</f>
        <v>µ-propu C6-3 x2</v>
      </c>
      <c r="G320" s="644"/>
      <c r="H320" s="472"/>
      <c r="I320" s="641" t="str">
        <f>A183</f>
        <v>p24-3G 74F85</v>
      </c>
      <c r="J320" s="642"/>
      <c r="K320" s="472"/>
      <c r="L320" s="641" t="str">
        <f>A228</f>
        <v>p29-2G 116G126</v>
      </c>
      <c r="M320" s="642"/>
      <c r="O320" s="643" t="str">
        <f>A123</f>
        <v>p24-2G 50E51</v>
      </c>
      <c r="P320" s="644"/>
      <c r="R320" s="643" t="str">
        <f>A294</f>
        <v>Pro98-6G Green</v>
      </c>
      <c r="S320" s="644"/>
    </row>
    <row r="321" spans="1:19" x14ac:dyDescent="0.3">
      <c r="A321" s="398" t="str">
        <v>Pandora (Pro24-6G BS)</v>
      </c>
      <c r="C321" s="643" t="str">
        <f>A46</f>
        <v>H2O 2.0L 400g 6bar</v>
      </c>
      <c r="D321" s="644"/>
      <c r="F321" s="643" t="str">
        <f>A87</f>
        <v>µ-propu C6-3 x3</v>
      </c>
      <c r="G321" s="644"/>
      <c r="H321" s="472"/>
      <c r="I321" s="641" t="str">
        <f>A188</f>
        <v>p24-3G 75F51</v>
      </c>
      <c r="J321" s="642"/>
      <c r="K321" s="472"/>
      <c r="L321" s="641" t="str">
        <f>A198</f>
        <v>Pandora (Pro24-6G BS)</v>
      </c>
      <c r="M321" s="642"/>
      <c r="O321" s="643" t="str">
        <f>A128</f>
        <v>p24-1G 53E70</v>
      </c>
      <c r="P321" s="644"/>
      <c r="R321" s="643" t="s">
        <v>185</v>
      </c>
      <c r="S321" s="644"/>
    </row>
    <row r="322" spans="1:19" x14ac:dyDescent="0.3">
      <c r="A322" s="398" t="str">
        <v>Klima D9-7</v>
      </c>
      <c r="C322" s="643" t="str">
        <f>A51</f>
        <v>H2O 2.0L 600g 6bar</v>
      </c>
      <c r="D322" s="644"/>
      <c r="F322" s="643" t="s">
        <v>185</v>
      </c>
      <c r="G322" s="644"/>
      <c r="H322" s="472"/>
      <c r="I322" s="641" t="s">
        <v>185</v>
      </c>
      <c r="J322" s="642"/>
      <c r="K322" s="472"/>
      <c r="L322" s="643" t="str">
        <f>A92</f>
        <v>Klima D9-7</v>
      </c>
      <c r="M322" s="644"/>
      <c r="O322" s="643" t="str">
        <f>A133</f>
        <v>p29-1G 41F36</v>
      </c>
      <c r="P322" s="644"/>
      <c r="R322" s="643" t="s">
        <v>185</v>
      </c>
      <c r="S322" s="644"/>
    </row>
    <row r="323" spans="1:19" x14ac:dyDescent="0.3">
      <c r="A323" s="398" t="str">
        <v>Klima D9-7 x2</v>
      </c>
      <c r="C323" s="643" t="str">
        <f>A56</f>
        <v>H2O 2.0L 800g 6bar</v>
      </c>
      <c r="D323" s="644"/>
      <c r="F323" s="643" t="s">
        <v>185</v>
      </c>
      <c r="G323" s="644"/>
      <c r="H323" s="472"/>
      <c r="I323" s="641" t="s">
        <v>185</v>
      </c>
      <c r="J323" s="642"/>
      <c r="K323" s="472"/>
      <c r="L323" s="643" t="str">
        <f>A97</f>
        <v>Klima D9-7 x2</v>
      </c>
      <c r="M323" s="644"/>
      <c r="O323" s="643" t="str">
        <f>A138</f>
        <v>p29-1G 51F36</v>
      </c>
      <c r="P323" s="644"/>
      <c r="R323" s="643" t="s">
        <v>185</v>
      </c>
      <c r="S323" s="644"/>
    </row>
    <row r="324" spans="1:19" x14ac:dyDescent="0.3">
      <c r="A324" s="398" t="str">
        <v>Klima D9-7 x3</v>
      </c>
      <c r="C324" s="643" t="str">
        <f>A61</f>
        <v>H2O 2.0L 1000g 6bar</v>
      </c>
      <c r="D324" s="644"/>
      <c r="F324" s="643" t="s">
        <v>185</v>
      </c>
      <c r="G324" s="644"/>
      <c r="H324" s="472"/>
      <c r="I324" s="641" t="s">
        <v>185</v>
      </c>
      <c r="J324" s="642"/>
      <c r="K324" s="472"/>
      <c r="L324" s="643" t="str">
        <f>A102</f>
        <v>Klima D9-7 x3</v>
      </c>
      <c r="M324" s="644"/>
      <c r="O324" s="643" t="str">
        <f>A143</f>
        <v>p29-1G 55F29</v>
      </c>
      <c r="P324" s="644"/>
      <c r="R324" s="643" t="s">
        <v>185</v>
      </c>
      <c r="S324" s="644"/>
    </row>
    <row r="325" spans="1:19" x14ac:dyDescent="0.3">
      <c r="A325" s="398" t="str">
        <v xml:space="preserve"> </v>
      </c>
      <c r="C325" s="643" t="s">
        <v>185</v>
      </c>
      <c r="D325" s="644"/>
      <c r="F325" s="643" t="s">
        <v>185</v>
      </c>
      <c r="G325" s="644"/>
      <c r="H325" s="472"/>
      <c r="I325" s="641" t="s">
        <v>185</v>
      </c>
      <c r="J325" s="642"/>
      <c r="K325" s="472"/>
      <c r="L325" s="643" t="s">
        <v>185</v>
      </c>
      <c r="M325" s="644"/>
      <c r="O325" s="643" t="str">
        <f>A153</f>
        <v>p29-1G 56F120</v>
      </c>
      <c r="P325" s="644"/>
      <c r="R325" s="643" t="s">
        <v>185</v>
      </c>
      <c r="S325" s="644"/>
    </row>
    <row r="326" spans="1:19" x14ac:dyDescent="0.3">
      <c r="A326" s="398" t="str">
        <v xml:space="preserve"> </v>
      </c>
      <c r="C326" s="643" t="s">
        <v>185</v>
      </c>
      <c r="D326" s="644"/>
      <c r="F326" s="643" t="s">
        <v>185</v>
      </c>
      <c r="G326" s="644"/>
      <c r="H326" s="472"/>
      <c r="I326" s="641" t="s">
        <v>185</v>
      </c>
      <c r="J326" s="642"/>
      <c r="K326" s="472"/>
      <c r="L326" s="643" t="s">
        <v>185</v>
      </c>
      <c r="M326" s="644"/>
      <c r="O326" s="643" t="str">
        <f>A158</f>
        <v>p29-1G 57F59</v>
      </c>
      <c r="P326" s="644"/>
      <c r="R326" s="643" t="s">
        <v>185</v>
      </c>
      <c r="S326" s="644"/>
    </row>
    <row r="327" spans="1:19" x14ac:dyDescent="0.3">
      <c r="A327" s="398" t="str">
        <v xml:space="preserve"> </v>
      </c>
      <c r="C327" s="643" t="s">
        <v>185</v>
      </c>
      <c r="D327" s="644"/>
      <c r="F327" s="643" t="s">
        <v>185</v>
      </c>
      <c r="G327" s="644"/>
      <c r="H327" s="472"/>
      <c r="I327" s="641" t="s">
        <v>185</v>
      </c>
      <c r="J327" s="642"/>
      <c r="K327" s="472"/>
      <c r="L327" s="643" t="s">
        <v>185</v>
      </c>
      <c r="M327" s="644"/>
      <c r="O327" s="643" t="str">
        <f>A163</f>
        <v>p24-3G 60F50</v>
      </c>
      <c r="P327" s="644"/>
      <c r="R327" s="643" t="s">
        <v>185</v>
      </c>
      <c r="S327" s="644"/>
    </row>
    <row r="328" spans="1:19" x14ac:dyDescent="0.3">
      <c r="A328" s="398" t="str">
        <v xml:space="preserve"> </v>
      </c>
      <c r="C328" s="643" t="s">
        <v>185</v>
      </c>
      <c r="D328" s="644"/>
      <c r="F328" s="643" t="s">
        <v>185</v>
      </c>
      <c r="G328" s="644"/>
      <c r="H328" s="472"/>
      <c r="I328" s="641" t="s">
        <v>185</v>
      </c>
      <c r="J328" s="642"/>
      <c r="K328" s="472"/>
      <c r="L328" s="643" t="s">
        <v>185</v>
      </c>
      <c r="M328" s="644"/>
      <c r="O328" s="643" t="str">
        <f>A168</f>
        <v>p24-3G 68F79</v>
      </c>
      <c r="P328" s="644"/>
      <c r="R328" s="643" t="s">
        <v>185</v>
      </c>
      <c r="S328" s="644"/>
    </row>
    <row r="329" spans="1:19" x14ac:dyDescent="0.3">
      <c r="A329" s="398" t="str">
        <v xml:space="preserve"> </v>
      </c>
      <c r="C329" s="643" t="s">
        <v>185</v>
      </c>
      <c r="D329" s="644"/>
      <c r="F329" s="643" t="s">
        <v>185</v>
      </c>
      <c r="G329" s="644"/>
      <c r="H329" s="472"/>
      <c r="I329" s="641" t="s">
        <v>185</v>
      </c>
      <c r="J329" s="642"/>
      <c r="K329" s="472"/>
      <c r="L329" s="643" t="s">
        <v>185</v>
      </c>
      <c r="M329" s="644"/>
      <c r="O329" s="643" t="str">
        <f>A173</f>
        <v>p24-3G 68F240</v>
      </c>
      <c r="P329" s="644"/>
      <c r="R329" s="643" t="s">
        <v>185</v>
      </c>
      <c r="S329" s="644"/>
    </row>
    <row r="330" spans="1:19" x14ac:dyDescent="0.3">
      <c r="A330" s="398" t="str">
        <v xml:space="preserve"> </v>
      </c>
      <c r="C330" s="643" t="s">
        <v>185</v>
      </c>
      <c r="D330" s="644"/>
      <c r="F330" s="643" t="s">
        <v>185</v>
      </c>
      <c r="G330" s="644"/>
      <c r="H330" s="472"/>
      <c r="I330" s="641" t="s">
        <v>185</v>
      </c>
      <c r="J330" s="642"/>
      <c r="K330" s="472"/>
      <c r="L330" s="643" t="s">
        <v>185</v>
      </c>
      <c r="M330" s="644"/>
      <c r="O330" s="643" t="str">
        <f>A178</f>
        <v>p24-3G 73F30</v>
      </c>
      <c r="P330" s="644"/>
      <c r="R330" s="643" t="s">
        <v>185</v>
      </c>
      <c r="S330" s="644"/>
    </row>
    <row r="331" spans="1:19" x14ac:dyDescent="0.3">
      <c r="A331" s="398" t="str">
        <v xml:space="preserve"> </v>
      </c>
      <c r="C331" s="643" t="s">
        <v>185</v>
      </c>
      <c r="D331" s="644"/>
      <c r="F331" s="643" t="s">
        <v>185</v>
      </c>
      <c r="G331" s="644"/>
      <c r="H331" s="472"/>
      <c r="I331" s="649" t="s">
        <v>185</v>
      </c>
      <c r="J331" s="650"/>
      <c r="K331" s="472"/>
      <c r="L331" s="643" t="s">
        <v>185</v>
      </c>
      <c r="M331" s="644"/>
      <c r="O331" s="643" t="str">
        <f>A183</f>
        <v>p24-3G 74F85</v>
      </c>
      <c r="P331" s="644"/>
      <c r="R331" s="643" t="s">
        <v>185</v>
      </c>
      <c r="S331" s="644"/>
    </row>
    <row r="332" spans="1:19" x14ac:dyDescent="0.3">
      <c r="A332" s="462" t="str">
        <v xml:space="preserve"> </v>
      </c>
      <c r="C332" s="646" t="s">
        <v>185</v>
      </c>
      <c r="D332" s="647"/>
      <c r="F332" s="646" t="s">
        <v>185</v>
      </c>
      <c r="G332" s="647"/>
      <c r="H332" s="472"/>
      <c r="I332" s="646" t="s">
        <v>185</v>
      </c>
      <c r="J332" s="647"/>
      <c r="K332" s="472"/>
      <c r="L332" s="646" t="s">
        <v>185</v>
      </c>
      <c r="M332" s="647"/>
      <c r="O332" s="643" t="str">
        <f>A188</f>
        <v>p24-3G 75F51</v>
      </c>
      <c r="P332" s="644"/>
      <c r="R332" s="646" t="s">
        <v>185</v>
      </c>
      <c r="S332" s="647"/>
    </row>
    <row r="333" spans="1:19" x14ac:dyDescent="0.3">
      <c r="A333" s="398" t="str">
        <v xml:space="preserve"> </v>
      </c>
      <c r="C333" s="653" t="s">
        <v>185</v>
      </c>
      <c r="D333" s="653"/>
      <c r="F333" s="653" t="s">
        <v>185</v>
      </c>
      <c r="G333" s="653"/>
      <c r="I333" s="640" t="s">
        <v>185</v>
      </c>
      <c r="J333" s="640"/>
      <c r="L333" s="640" t="s">
        <v>185</v>
      </c>
      <c r="M333" s="640"/>
      <c r="O333" s="643" t="str">
        <f>A213</f>
        <v>p29-2G 84G88</v>
      </c>
      <c r="P333" s="644"/>
      <c r="R333" s="648" t="s">
        <v>185</v>
      </c>
      <c r="S333" s="648"/>
    </row>
    <row r="334" spans="1:19" x14ac:dyDescent="0.3">
      <c r="A334" s="398" t="str">
        <v xml:space="preserve"> </v>
      </c>
      <c r="C334" s="637" t="s">
        <v>185</v>
      </c>
      <c r="D334" s="637"/>
      <c r="F334" s="637" t="s">
        <v>185</v>
      </c>
      <c r="G334" s="637"/>
      <c r="I334" s="640" t="s">
        <v>185</v>
      </c>
      <c r="J334" s="640"/>
      <c r="L334" s="640" t="s">
        <v>185</v>
      </c>
      <c r="M334" s="640"/>
      <c r="O334" s="643" t="str">
        <f>A218</f>
        <v>p29-2G 93G80</v>
      </c>
      <c r="P334" s="644"/>
      <c r="R334" s="645" t="str">
        <f>A269</f>
        <v>Isard</v>
      </c>
      <c r="S334" s="645"/>
    </row>
    <row r="335" spans="1:19" x14ac:dyDescent="0.3">
      <c r="A335" s="398" t="str">
        <v xml:space="preserve"> </v>
      </c>
      <c r="C335" s="637" t="s">
        <v>185</v>
      </c>
      <c r="D335" s="637"/>
      <c r="F335" s="637" t="s">
        <v>185</v>
      </c>
      <c r="G335" s="637"/>
      <c r="I335" s="640" t="s">
        <v>185</v>
      </c>
      <c r="J335" s="640"/>
      <c r="L335" s="640" t="s">
        <v>185</v>
      </c>
      <c r="M335" s="640"/>
      <c r="O335" s="643" t="str">
        <f>A223</f>
        <v>p29-2G 110G250</v>
      </c>
      <c r="P335" s="644"/>
      <c r="R335" s="645" t="str">
        <f>A274</f>
        <v>Chamois</v>
      </c>
      <c r="S335" s="645"/>
    </row>
    <row r="336" spans="1:19" x14ac:dyDescent="0.3">
      <c r="A336" s="398" t="str">
        <v xml:space="preserve"> </v>
      </c>
      <c r="C336" s="637" t="s">
        <v>185</v>
      </c>
      <c r="D336" s="637"/>
      <c r="F336" s="637" t="s">
        <v>185</v>
      </c>
      <c r="G336" s="637"/>
      <c r="I336" s="640" t="s">
        <v>185</v>
      </c>
      <c r="J336" s="640"/>
      <c r="L336" s="640" t="s">
        <v>185</v>
      </c>
      <c r="M336" s="640"/>
      <c r="O336" s="643" t="str">
        <f>A228</f>
        <v>p29-2G 116G126</v>
      </c>
      <c r="P336" s="644"/>
      <c r="R336" s="645" t="str">
        <f>A284</f>
        <v>Pro54-5G WT</v>
      </c>
      <c r="S336" s="645"/>
    </row>
    <row r="337" spans="1:19" x14ac:dyDescent="0.3">
      <c r="A337" s="398" t="str">
        <v xml:space="preserve"> </v>
      </c>
      <c r="C337" s="637" t="s">
        <v>185</v>
      </c>
      <c r="D337" s="637"/>
      <c r="F337" s="637" t="s">
        <v>185</v>
      </c>
      <c r="G337" s="637"/>
      <c r="I337" s="640" t="s">
        <v>185</v>
      </c>
      <c r="J337" s="640"/>
      <c r="L337" s="640" t="s">
        <v>185</v>
      </c>
      <c r="M337" s="640"/>
      <c r="O337" s="643" t="str">
        <f>A233</f>
        <v>p29-3G 125G131</v>
      </c>
      <c r="P337" s="644"/>
      <c r="R337" s="645" t="str">
        <f>A294</f>
        <v>Pro98-6G Green</v>
      </c>
      <c r="S337" s="645"/>
    </row>
    <row r="338" spans="1:19" x14ac:dyDescent="0.3">
      <c r="A338" s="398" t="str">
        <v xml:space="preserve"> </v>
      </c>
      <c r="C338" s="637" t="s">
        <v>185</v>
      </c>
      <c r="D338" s="637"/>
      <c r="F338" s="637" t="s">
        <v>185</v>
      </c>
      <c r="G338" s="637"/>
      <c r="I338" s="640" t="s">
        <v>185</v>
      </c>
      <c r="J338" s="640"/>
      <c r="L338" s="640" t="s">
        <v>185</v>
      </c>
      <c r="M338" s="640"/>
      <c r="O338" s="643" t="str">
        <f>A248</f>
        <v>p38-1G 128G185</v>
      </c>
      <c r="P338" s="644"/>
      <c r="R338" s="645" t="str">
        <f>A299</f>
        <v>Pro98-3G WT</v>
      </c>
      <c r="S338" s="645"/>
    </row>
    <row r="339" spans="1:19" x14ac:dyDescent="0.3">
      <c r="A339" s="398" t="str">
        <v xml:space="preserve"> </v>
      </c>
      <c r="C339" s="637" t="s">
        <v>185</v>
      </c>
      <c r="D339" s="637"/>
      <c r="F339" s="637" t="s">
        <v>185</v>
      </c>
      <c r="G339" s="637"/>
      <c r="I339" s="640" t="s">
        <v>185</v>
      </c>
      <c r="J339" s="640"/>
      <c r="L339" s="640" t="s">
        <v>185</v>
      </c>
      <c r="M339" s="640"/>
      <c r="O339" s="643" t="str">
        <f>A243</f>
        <v>p38-1G 137G58</v>
      </c>
      <c r="P339" s="644"/>
      <c r="R339" s="645" t="str">
        <f>A309</f>
        <v>Aucun (2e ét. inerte)</v>
      </c>
      <c r="S339" s="645"/>
    </row>
    <row r="340" spans="1:19" x14ac:dyDescent="0.3">
      <c r="A340" s="398" t="str">
        <v xml:space="preserve"> </v>
      </c>
      <c r="C340" s="637" t="s">
        <v>185</v>
      </c>
      <c r="D340" s="637"/>
      <c r="F340" s="637" t="s">
        <v>185</v>
      </c>
      <c r="G340" s="637"/>
      <c r="I340" s="640" t="s">
        <v>185</v>
      </c>
      <c r="J340" s="640"/>
      <c r="L340" s="640" t="s">
        <v>185</v>
      </c>
      <c r="M340" s="640"/>
      <c r="O340" s="643" t="str">
        <f>A253</f>
        <v>p38-1G 141G78</v>
      </c>
      <c r="P340" s="644"/>
      <c r="R340" s="640" t="s">
        <v>185</v>
      </c>
      <c r="S340" s="640"/>
    </row>
    <row r="341" spans="1:19" x14ac:dyDescent="0.3">
      <c r="A341" s="398" t="str">
        <v xml:space="preserve"> </v>
      </c>
      <c r="C341" s="637" t="s">
        <v>185</v>
      </c>
      <c r="D341" s="637"/>
      <c r="F341" s="637" t="s">
        <v>185</v>
      </c>
      <c r="G341" s="637"/>
      <c r="I341" s="637" t="s">
        <v>185</v>
      </c>
      <c r="J341" s="637"/>
      <c r="L341" s="640" t="s">
        <v>185</v>
      </c>
      <c r="M341" s="640"/>
      <c r="O341" s="643" t="str">
        <f>A193</f>
        <v>p24-6G 140G145 PK</v>
      </c>
      <c r="P341" s="644"/>
      <c r="R341" s="637" t="s">
        <v>185</v>
      </c>
      <c r="S341" s="637"/>
    </row>
    <row r="342" spans="1:19" x14ac:dyDescent="0.3">
      <c r="A342" s="398" t="str">
        <v xml:space="preserve"> </v>
      </c>
      <c r="C342" s="637" t="s">
        <v>185</v>
      </c>
      <c r="D342" s="637"/>
      <c r="F342" s="637" t="s">
        <v>185</v>
      </c>
      <c r="G342" s="637"/>
      <c r="I342" s="637" t="s">
        <v>185</v>
      </c>
      <c r="J342" s="637"/>
      <c r="L342" s="640" t="s">
        <v>185</v>
      </c>
      <c r="M342" s="640"/>
      <c r="O342" s="643" t="str">
        <f>A198</f>
        <v>Pandora (Pro24-6G BS)</v>
      </c>
      <c r="P342" s="644"/>
      <c r="R342" s="637" t="s">
        <v>185</v>
      </c>
      <c r="S342" s="637"/>
    </row>
    <row r="343" spans="1:19" x14ac:dyDescent="0.3">
      <c r="A343" s="398" t="str">
        <v xml:space="preserve"> </v>
      </c>
      <c r="C343" s="637" t="s">
        <v>185</v>
      </c>
      <c r="D343" s="637"/>
      <c r="F343" s="637" t="s">
        <v>185</v>
      </c>
      <c r="G343" s="637"/>
      <c r="I343" s="637" t="s">
        <v>185</v>
      </c>
      <c r="J343" s="637"/>
      <c r="L343" s="637" t="s">
        <v>185</v>
      </c>
      <c r="M343" s="637"/>
      <c r="O343" s="641" t="str">
        <f>A203</f>
        <v>p24-6G 142G117 WT</v>
      </c>
      <c r="P343" s="642"/>
      <c r="R343" s="637" t="s">
        <v>185</v>
      </c>
      <c r="S343" s="637"/>
    </row>
    <row r="344" spans="1:19" x14ac:dyDescent="0.3">
      <c r="A344" s="398" t="str">
        <v xml:space="preserve"> </v>
      </c>
      <c r="C344" s="637" t="s">
        <v>185</v>
      </c>
      <c r="D344" s="637"/>
      <c r="F344" s="637" t="s">
        <v>185</v>
      </c>
      <c r="G344" s="637"/>
      <c r="I344" s="637" t="s">
        <v>185</v>
      </c>
      <c r="J344" s="637"/>
      <c r="L344" s="637" t="s">
        <v>185</v>
      </c>
      <c r="M344" s="637"/>
      <c r="O344" s="641" t="str">
        <f>A208</f>
        <v>p24-6G 139G107 DT</v>
      </c>
      <c r="P344" s="642"/>
      <c r="R344" s="637" t="s">
        <v>185</v>
      </c>
      <c r="S344" s="637"/>
    </row>
    <row r="345" spans="1:19" x14ac:dyDescent="0.3">
      <c r="A345" s="398" t="str">
        <v xml:space="preserve"> </v>
      </c>
      <c r="C345" s="637" t="s">
        <v>185</v>
      </c>
      <c r="D345" s="637"/>
      <c r="F345" s="637" t="s">
        <v>185</v>
      </c>
      <c r="G345" s="637"/>
      <c r="I345" s="637" t="s">
        <v>185</v>
      </c>
      <c r="J345" s="637"/>
      <c r="L345" s="637" t="s">
        <v>185</v>
      </c>
      <c r="M345" s="637"/>
      <c r="O345" s="641" t="str">
        <f>A263</f>
        <v>Cariacou</v>
      </c>
      <c r="P345" s="642"/>
      <c r="R345" s="637" t="s">
        <v>185</v>
      </c>
      <c r="S345" s="637"/>
    </row>
    <row r="346" spans="1:19" x14ac:dyDescent="0.3">
      <c r="A346" s="473" t="str">
        <v xml:space="preserve"> </v>
      </c>
      <c r="C346" s="637" t="s">
        <v>185</v>
      </c>
      <c r="D346" s="637"/>
      <c r="F346" s="637" t="s">
        <v>185</v>
      </c>
      <c r="G346" s="637"/>
      <c r="I346" s="637" t="s">
        <v>185</v>
      </c>
      <c r="J346" s="637"/>
      <c r="L346" s="637" t="s">
        <v>185</v>
      </c>
      <c r="M346" s="637"/>
      <c r="O346" s="638" t="str">
        <f>A258</f>
        <v>Wapiti</v>
      </c>
      <c r="P346" s="639"/>
      <c r="R346" s="637" t="s">
        <v>185</v>
      </c>
      <c r="S346" s="637"/>
    </row>
  </sheetData>
  <sheetProtection algorithmName="SHA-512" hashValue="TT52kldpbNfsZI03mY8g5TIIsjEeL9Q9TBJMBYh4cROlVUm3NqAv8usVb5XJtvE8tyHIClwYMgtE2emaKO5x7A==" saltValue="IfNq7E35bfDyzUo3UGtZTg==" spinCount="100000" sheet="1" objects="1" scenarios="1"/>
  <dataConsolidate/>
  <mergeCells count="186">
    <mergeCell ref="C333:D333"/>
    <mergeCell ref="L343:M343"/>
    <mergeCell ref="L344:M344"/>
    <mergeCell ref="F338:G338"/>
    <mergeCell ref="C341:D341"/>
    <mergeCell ref="C342:D342"/>
    <mergeCell ref="C343:D343"/>
    <mergeCell ref="I342:J342"/>
    <mergeCell ref="I343:J343"/>
    <mergeCell ref="L341:M341"/>
    <mergeCell ref="L342:M342"/>
    <mergeCell ref="C344:D344"/>
    <mergeCell ref="L338:M338"/>
    <mergeCell ref="F333:G333"/>
    <mergeCell ref="L335:M335"/>
    <mergeCell ref="L336:M336"/>
    <mergeCell ref="I333:J333"/>
    <mergeCell ref="I334:J334"/>
    <mergeCell ref="L339:M339"/>
    <mergeCell ref="L340:M340"/>
    <mergeCell ref="I340:J340"/>
    <mergeCell ref="I339:J339"/>
    <mergeCell ref="F334:G334"/>
    <mergeCell ref="F335:G335"/>
    <mergeCell ref="C345:D345"/>
    <mergeCell ref="C346:D346"/>
    <mergeCell ref="C335:D335"/>
    <mergeCell ref="C336:D336"/>
    <mergeCell ref="C337:D337"/>
    <mergeCell ref="C338:D338"/>
    <mergeCell ref="C339:D339"/>
    <mergeCell ref="C340:D340"/>
    <mergeCell ref="C334:D334"/>
    <mergeCell ref="R316:S316"/>
    <mergeCell ref="R317:S317"/>
    <mergeCell ref="R318:S318"/>
    <mergeCell ref="R319:S319"/>
    <mergeCell ref="R320:S320"/>
    <mergeCell ref="C328:D328"/>
    <mergeCell ref="O328:P328"/>
    <mergeCell ref="R327:S327"/>
    <mergeCell ref="R326:S326"/>
    <mergeCell ref="C321:D321"/>
    <mergeCell ref="O321:P321"/>
    <mergeCell ref="R321:S321"/>
    <mergeCell ref="R325:S325"/>
    <mergeCell ref="R324:S324"/>
    <mergeCell ref="R323:S323"/>
    <mergeCell ref="I321:J321"/>
    <mergeCell ref="I322:J322"/>
    <mergeCell ref="I323:J323"/>
    <mergeCell ref="I324:J324"/>
    <mergeCell ref="I325:J325"/>
    <mergeCell ref="I326:J326"/>
    <mergeCell ref="I327:J327"/>
    <mergeCell ref="L323:M323"/>
    <mergeCell ref="L324:M324"/>
    <mergeCell ref="L317:M317"/>
    <mergeCell ref="C332:D332"/>
    <mergeCell ref="R322:S322"/>
    <mergeCell ref="R328:S328"/>
    <mergeCell ref="R332:S332"/>
    <mergeCell ref="F328:G328"/>
    <mergeCell ref="F322:G322"/>
    <mergeCell ref="O326:P326"/>
    <mergeCell ref="F323:G323"/>
    <mergeCell ref="O331:P331"/>
    <mergeCell ref="R330:S330"/>
    <mergeCell ref="R329:S329"/>
    <mergeCell ref="O329:P329"/>
    <mergeCell ref="R331:S331"/>
    <mergeCell ref="L331:M331"/>
    <mergeCell ref="L332:M332"/>
    <mergeCell ref="L329:M329"/>
    <mergeCell ref="L330:M330"/>
    <mergeCell ref="L325:M325"/>
    <mergeCell ref="C329:D329"/>
    <mergeCell ref="C330:D330"/>
    <mergeCell ref="I332:J332"/>
    <mergeCell ref="C331:D331"/>
    <mergeCell ref="F325:G325"/>
    <mergeCell ref="L316:M316"/>
    <mergeCell ref="C327:D327"/>
    <mergeCell ref="C326:D326"/>
    <mergeCell ref="C325:D325"/>
    <mergeCell ref="C324:D324"/>
    <mergeCell ref="C323:D323"/>
    <mergeCell ref="C322:D322"/>
    <mergeCell ref="O316:P316"/>
    <mergeCell ref="F318:G318"/>
    <mergeCell ref="F317:G317"/>
    <mergeCell ref="O318:P318"/>
    <mergeCell ref="O317:P317"/>
    <mergeCell ref="L318:M318"/>
    <mergeCell ref="C316:D316"/>
    <mergeCell ref="C317:D317"/>
    <mergeCell ref="C318:D318"/>
    <mergeCell ref="C319:D319"/>
    <mergeCell ref="C320:D320"/>
    <mergeCell ref="F316:G316"/>
    <mergeCell ref="L320:M320"/>
    <mergeCell ref="I316:J316"/>
    <mergeCell ref="I317:J317"/>
    <mergeCell ref="I318:J318"/>
    <mergeCell ref="I319:J319"/>
    <mergeCell ref="F331:G331"/>
    <mergeCell ref="F324:G324"/>
    <mergeCell ref="F321:G321"/>
    <mergeCell ref="F320:G320"/>
    <mergeCell ref="O323:P323"/>
    <mergeCell ref="O320:P320"/>
    <mergeCell ref="O319:P319"/>
    <mergeCell ref="O324:P324"/>
    <mergeCell ref="F319:G319"/>
    <mergeCell ref="O322:P322"/>
    <mergeCell ref="I320:J320"/>
    <mergeCell ref="L319:M319"/>
    <mergeCell ref="L326:M326"/>
    <mergeCell ref="L327:M327"/>
    <mergeCell ref="L321:M321"/>
    <mergeCell ref="L322:M322"/>
    <mergeCell ref="O325:P325"/>
    <mergeCell ref="O330:P330"/>
    <mergeCell ref="F327:G327"/>
    <mergeCell ref="F326:G326"/>
    <mergeCell ref="F336:G336"/>
    <mergeCell ref="F337:G337"/>
    <mergeCell ref="O327:P327"/>
    <mergeCell ref="O333:P333"/>
    <mergeCell ref="L328:M328"/>
    <mergeCell ref="I336:J336"/>
    <mergeCell ref="O332:P332"/>
    <mergeCell ref="L333:M333"/>
    <mergeCell ref="I341:J341"/>
    <mergeCell ref="O337:P337"/>
    <mergeCell ref="F339:G339"/>
    <mergeCell ref="F340:G340"/>
    <mergeCell ref="O338:P338"/>
    <mergeCell ref="O336:P336"/>
    <mergeCell ref="I328:J328"/>
    <mergeCell ref="I329:J329"/>
    <mergeCell ref="I330:J330"/>
    <mergeCell ref="I331:J331"/>
    <mergeCell ref="I335:J335"/>
    <mergeCell ref="L337:M337"/>
    <mergeCell ref="O341:P341"/>
    <mergeCell ref="L334:M334"/>
    <mergeCell ref="F329:G329"/>
    <mergeCell ref="F330:G330"/>
    <mergeCell ref="R340:S340"/>
    <mergeCell ref="R341:S341"/>
    <mergeCell ref="R343:S343"/>
    <mergeCell ref="R344:S344"/>
    <mergeCell ref="R345:S345"/>
    <mergeCell ref="O345:P345"/>
    <mergeCell ref="O340:P340"/>
    <mergeCell ref="R339:S339"/>
    <mergeCell ref="F332:G332"/>
    <mergeCell ref="O343:P343"/>
    <mergeCell ref="R338:S338"/>
    <mergeCell ref="R336:S336"/>
    <mergeCell ref="R337:S337"/>
    <mergeCell ref="R334:S334"/>
    <mergeCell ref="F341:G341"/>
    <mergeCell ref="O342:P342"/>
    <mergeCell ref="O335:P335"/>
    <mergeCell ref="O334:P334"/>
    <mergeCell ref="O339:P339"/>
    <mergeCell ref="O344:P344"/>
    <mergeCell ref="R335:S335"/>
    <mergeCell ref="R333:S333"/>
    <mergeCell ref="I337:J337"/>
    <mergeCell ref="I338:J338"/>
    <mergeCell ref="R346:S346"/>
    <mergeCell ref="R342:S342"/>
    <mergeCell ref="F342:G342"/>
    <mergeCell ref="F343:G343"/>
    <mergeCell ref="F344:G344"/>
    <mergeCell ref="F345:G345"/>
    <mergeCell ref="F346:G346"/>
    <mergeCell ref="O346:P346"/>
    <mergeCell ref="L345:M345"/>
    <mergeCell ref="L346:M346"/>
    <mergeCell ref="I344:J344"/>
    <mergeCell ref="I346:J346"/>
    <mergeCell ref="I345:J345"/>
  </mergeCells>
  <phoneticPr fontId="8" type="noConversion"/>
  <pageMargins left="0.39370078740157483" right="0.39370078740157483" top="0.39370078740157483" bottom="0.39370078740157483" header="0" footer="0"/>
  <pageSetup scale="44" firstPageNumber="0" fitToHeight="3" orientation="landscape" horizontalDpi="300" verticalDpi="300" r:id="rId1"/>
  <headerFooter alignWithMargins="0"/>
  <ignoredErrors>
    <ignoredError sqref="S318 C317:D324 F317:G321 O322:P339 O342:P342 R334:S339 O340:O341 O317:P319 O320:P321 P341 M324 S317" unlockedFormula="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pageSetUpPr fitToPage="1"/>
  </sheetPr>
  <dimension ref="A1:IN1075"/>
  <sheetViews>
    <sheetView showGridLines="0" workbookViewId="0">
      <pane xSplit="3" ySplit="7" topLeftCell="D8" activePane="bottomRight" state="frozen"/>
      <selection pane="topRight" activeCell="D1" sqref="D1"/>
      <selection pane="bottomLeft" activeCell="A8" sqref="A8"/>
      <selection pane="bottomRight" activeCell="AL41" sqref="AL41"/>
    </sheetView>
  </sheetViews>
  <sheetFormatPr baseColWidth="10" defaultColWidth="11.61328125" defaultRowHeight="12.45" x14ac:dyDescent="0.3"/>
  <cols>
    <col min="1" max="1" width="4.61328125" style="7" bestFit="1" customWidth="1"/>
    <col min="2" max="2" width="6" style="7" bestFit="1" customWidth="1"/>
    <col min="3" max="3" width="1.3828125" style="8" customWidth="1"/>
    <col min="4" max="4" width="7.15234375" style="7" customWidth="1"/>
    <col min="5" max="6" width="7.3828125" style="7" customWidth="1"/>
    <col min="7" max="7" width="7.15234375" style="7" customWidth="1"/>
    <col min="8" max="8" width="7.3828125" style="7" customWidth="1"/>
    <col min="9" max="9" width="7.15234375" style="7" customWidth="1"/>
    <col min="10" max="12" width="7.61328125" style="7" bestFit="1" customWidth="1"/>
    <col min="13" max="13" width="5.84375" style="7" customWidth="1"/>
    <col min="14" max="14" width="6.3828125" style="7" customWidth="1"/>
    <col min="15" max="15" width="1.3828125" style="8" customWidth="1"/>
    <col min="16" max="16" width="4" style="7" customWidth="1"/>
    <col min="17" max="17" width="8.61328125" style="7" customWidth="1"/>
    <col min="18" max="18" width="5.84375" style="7" customWidth="1"/>
    <col min="19" max="19" width="5.15234375" style="7" customWidth="1"/>
    <col min="20" max="20" width="6" style="7" customWidth="1"/>
    <col min="21" max="21" width="8.84375" style="7" customWidth="1"/>
    <col min="22" max="22" width="6.84375" style="7" customWidth="1"/>
    <col min="23" max="23" width="7.15234375" style="7" customWidth="1"/>
    <col min="24" max="24" width="1.3828125" style="8" customWidth="1"/>
    <col min="25" max="25" width="15.84375" style="7" customWidth="1"/>
    <col min="26" max="26" width="5.84375" style="7" customWidth="1"/>
    <col min="27" max="27" width="7.84375" style="7" customWidth="1"/>
    <col min="28" max="28" width="1.61328125" style="7" customWidth="1"/>
    <col min="29" max="29" width="7.15234375" style="7" bestFit="1" customWidth="1"/>
    <col min="30" max="31" width="6.84375" style="7" bestFit="1" customWidth="1"/>
    <col min="32" max="32" width="1.84375" style="7" customWidth="1"/>
    <col min="33" max="238" width="11.3828125" style="7" customWidth="1"/>
    <col min="239" max="239" width="11" style="7" customWidth="1"/>
  </cols>
  <sheetData>
    <row r="1" spans="1:248" ht="12.9" thickBot="1" x14ac:dyDescent="0.35">
      <c r="D1" s="654" t="s">
        <v>267</v>
      </c>
      <c r="E1" s="655"/>
      <c r="F1" s="655"/>
      <c r="G1" s="655"/>
      <c r="H1" s="655"/>
      <c r="I1" s="655"/>
      <c r="J1" s="655"/>
      <c r="K1" s="655"/>
      <c r="L1" s="655"/>
      <c r="M1" s="655"/>
      <c r="N1" s="656"/>
      <c r="P1" s="654" t="s">
        <v>17</v>
      </c>
      <c r="Q1" s="655"/>
      <c r="R1" s="655"/>
      <c r="S1" s="655"/>
      <c r="T1" s="655"/>
      <c r="U1" s="655"/>
      <c r="V1" s="655"/>
      <c r="W1" s="656"/>
      <c r="Y1" s="9"/>
      <c r="Z1" s="9"/>
      <c r="AA1" s="9"/>
      <c r="AC1" s="661" t="s">
        <v>187</v>
      </c>
      <c r="AD1" s="661"/>
      <c r="AE1" s="661"/>
      <c r="AG1" s="657" t="s">
        <v>18</v>
      </c>
      <c r="AH1" s="657"/>
    </row>
    <row r="2" spans="1:248" s="12" customFormat="1" x14ac:dyDescent="0.3">
      <c r="A2" s="330" t="s">
        <v>19</v>
      </c>
      <c r="B2" s="331" t="s">
        <v>2</v>
      </c>
      <c r="C2" s="10"/>
      <c r="D2" s="334" t="s">
        <v>194</v>
      </c>
      <c r="E2" s="335" t="s">
        <v>195</v>
      </c>
      <c r="F2" s="331" t="s">
        <v>196</v>
      </c>
      <c r="G2" s="334" t="s">
        <v>191</v>
      </c>
      <c r="H2" s="335" t="s">
        <v>192</v>
      </c>
      <c r="I2" s="331" t="s">
        <v>193</v>
      </c>
      <c r="J2" s="334" t="s">
        <v>188</v>
      </c>
      <c r="K2" s="335" t="s">
        <v>189</v>
      </c>
      <c r="L2" s="331" t="s">
        <v>190</v>
      </c>
      <c r="M2" s="330" t="s">
        <v>20</v>
      </c>
      <c r="N2" s="331" t="s">
        <v>21</v>
      </c>
      <c r="O2" s="10"/>
      <c r="P2" s="330" t="s">
        <v>26</v>
      </c>
      <c r="Q2" s="331" t="s">
        <v>25</v>
      </c>
      <c r="R2" s="330" t="s">
        <v>22</v>
      </c>
      <c r="S2" s="335" t="s">
        <v>38</v>
      </c>
      <c r="T2" s="331" t="s">
        <v>27</v>
      </c>
      <c r="U2" s="338" t="s">
        <v>28</v>
      </c>
      <c r="V2" s="330" t="s">
        <v>24</v>
      </c>
      <c r="W2" s="331" t="s">
        <v>23</v>
      </c>
      <c r="X2" s="11"/>
      <c r="Y2" s="658" t="s">
        <v>186</v>
      </c>
      <c r="Z2" s="659"/>
      <c r="AA2" s="660"/>
      <c r="AC2" s="330" t="s">
        <v>11</v>
      </c>
      <c r="AD2" s="335" t="s">
        <v>3</v>
      </c>
      <c r="AE2" s="331" t="s">
        <v>29</v>
      </c>
      <c r="AG2" s="345" t="s">
        <v>31</v>
      </c>
      <c r="AH2" s="346" t="s">
        <v>30</v>
      </c>
      <c r="IF2"/>
      <c r="IG2"/>
      <c r="IH2"/>
      <c r="II2"/>
      <c r="IJ2"/>
      <c r="IK2"/>
      <c r="IL2"/>
      <c r="IM2"/>
      <c r="IN2"/>
    </row>
    <row r="3" spans="1:248" s="12" customFormat="1" x14ac:dyDescent="0.3">
      <c r="A3" s="332" t="s">
        <v>153</v>
      </c>
      <c r="B3" s="333" t="s">
        <v>153</v>
      </c>
      <c r="C3" s="10"/>
      <c r="D3" s="336" t="s">
        <v>7</v>
      </c>
      <c r="E3" s="337" t="s">
        <v>7</v>
      </c>
      <c r="F3" s="333" t="s">
        <v>7</v>
      </c>
      <c r="G3" s="336" t="s">
        <v>154</v>
      </c>
      <c r="H3" s="337" t="s">
        <v>154</v>
      </c>
      <c r="I3" s="333" t="s">
        <v>154</v>
      </c>
      <c r="J3" s="336" t="s">
        <v>38</v>
      </c>
      <c r="K3" s="337" t="s">
        <v>38</v>
      </c>
      <c r="L3" s="333" t="s">
        <v>38</v>
      </c>
      <c r="M3" s="332" t="s">
        <v>245</v>
      </c>
      <c r="N3" s="333" t="s">
        <v>155</v>
      </c>
      <c r="O3" s="10"/>
      <c r="P3" s="336" t="s">
        <v>14</v>
      </c>
      <c r="Q3" s="339" t="s">
        <v>228</v>
      </c>
      <c r="R3" s="336" t="s">
        <v>246</v>
      </c>
      <c r="S3" s="340" t="s">
        <v>229</v>
      </c>
      <c r="T3" s="339" t="s">
        <v>228</v>
      </c>
      <c r="U3" s="341" t="s">
        <v>228</v>
      </c>
      <c r="V3" s="336" t="s">
        <v>8</v>
      </c>
      <c r="W3" s="339" t="s">
        <v>228</v>
      </c>
      <c r="X3" s="11"/>
      <c r="Y3" s="342"/>
      <c r="Z3" s="343"/>
      <c r="AA3" s="344"/>
      <c r="AC3" s="336" t="s">
        <v>153</v>
      </c>
      <c r="AD3" s="340" t="s">
        <v>38</v>
      </c>
      <c r="AE3" s="339" t="s">
        <v>38</v>
      </c>
      <c r="AG3" s="342" t="s">
        <v>7</v>
      </c>
      <c r="AH3" s="339" t="s">
        <v>7</v>
      </c>
      <c r="IF3"/>
      <c r="IG3"/>
      <c r="IH3"/>
      <c r="II3"/>
      <c r="IJ3"/>
      <c r="IK3"/>
      <c r="IL3"/>
      <c r="IM3"/>
      <c r="IN3"/>
    </row>
    <row r="4" spans="1:248" x14ac:dyDescent="0.3">
      <c r="A4" s="292" t="s">
        <v>14</v>
      </c>
      <c r="B4" s="349">
        <f>T_ini</f>
        <v>0</v>
      </c>
      <c r="D4" s="292" t="s">
        <v>14</v>
      </c>
      <c r="E4" s="293" t="s">
        <v>14</v>
      </c>
      <c r="F4" s="294" t="s">
        <v>14</v>
      </c>
      <c r="G4" s="292">
        <f>vit_xz*COS(Beta)</f>
        <v>0</v>
      </c>
      <c r="H4" s="293">
        <f>vit_xz*SIN(Beta)</f>
        <v>0</v>
      </c>
      <c r="I4" s="349">
        <f>V_ini</f>
        <v>0</v>
      </c>
      <c r="J4" s="350">
        <f>X_ini</f>
        <v>0</v>
      </c>
      <c r="K4" s="351">
        <f>Z_ini</f>
        <v>0</v>
      </c>
      <c r="L4" s="327">
        <f t="shared" ref="L4:L67" si="0">SQRT(pos_x^2+pos_z^2)</f>
        <v>0</v>
      </c>
      <c r="M4" s="292">
        <f>RADIANS(N4)</f>
        <v>1.3962634015954636</v>
      </c>
      <c r="N4" s="349">
        <f>Beta_rampe</f>
        <v>80</v>
      </c>
      <c r="P4" s="292" t="s">
        <v>14</v>
      </c>
      <c r="Q4" s="294" t="s">
        <v>14</v>
      </c>
      <c r="R4" s="292" t="s">
        <v>14</v>
      </c>
      <c r="S4" s="351">
        <f ca="1">m_tot</f>
        <v>0.45799999999999996</v>
      </c>
      <c r="T4" s="327">
        <f t="shared" ref="T4:T67" ca="1" si="1">m*g</f>
        <v>4.4929800000000002</v>
      </c>
      <c r="U4" s="328">
        <f t="shared" ref="U4:U67" ca="1" si="2">IF(pos_xz&lt;L_rampe,Poids*COS(Beta),0)</f>
        <v>0.78019778929396499</v>
      </c>
      <c r="V4" s="329">
        <f t="shared" ref="V4:V67" si="3">Rho_moyen*(20000-Alt_rampe-pos_z)/(20000+Alt_rampe+pos_z)</f>
        <v>1.2250000000000001</v>
      </c>
      <c r="W4" s="327">
        <f t="shared" ref="W4:W67" si="4">1/2*Rho*Sref*Cx*vit_xz^2</f>
        <v>0</v>
      </c>
      <c r="Y4" s="295" t="s">
        <v>14</v>
      </c>
      <c r="Z4" s="296" t="s">
        <v>14</v>
      </c>
      <c r="AA4" s="297" t="s">
        <v>14</v>
      </c>
      <c r="AC4" s="320">
        <f>IF(ABS(t-ROUND(t,0))&lt;0.001,t,-1)</f>
        <v>0</v>
      </c>
      <c r="AD4" s="321">
        <f>IF(ABS(t-ROUND(t,0))&lt;0.001,pos_x,-1)</f>
        <v>0</v>
      </c>
      <c r="AE4" s="322">
        <f t="shared" ref="AE4:AE67" si="5">IF(t&lt;T_para, pos_z, NA())</f>
        <v>0</v>
      </c>
      <c r="AG4" s="292" t="s">
        <v>14</v>
      </c>
      <c r="AH4" s="294" t="s">
        <v>14</v>
      </c>
    </row>
    <row r="5" spans="1:248" x14ac:dyDescent="0.3">
      <c r="A5" s="347">
        <f t="shared" ref="A5:A68" ca="1" si="6">IF(B4+0.01&lt;=T_ini+ROUNDUP(Temps_fin_propu,0), 0.01, IF(K4&gt;0, 0.1, 0.0001))</f>
        <v>0.01</v>
      </c>
      <c r="B5" s="304">
        <f t="shared" ref="B5:B68" ca="1" si="7">B4+pas</f>
        <v>0.01</v>
      </c>
      <c r="D5" s="306">
        <f t="shared" ref="D5:D68" ca="1" si="8">IF(AND(L4&lt;L_rampe,Poussee&lt;Poids*SIN(M4)),0,(-W4+Poussee)/m*COS(M4)-U4/m*SIN(M4))</f>
        <v>1.3556754964461979</v>
      </c>
      <c r="E5" s="307">
        <f t="shared" ref="E5:E68" ca="1" si="9">IF(AND(L4&lt;L_rampe,Poussee&lt;Poids*SIN(M4)),0,(-W4+Poussee)/m*SIN(M4)+U4/m*COS(M4)-Poids/m)</f>
        <v>7.6893467118515346</v>
      </c>
      <c r="F5" s="304">
        <f t="shared" ref="F5:F68" ca="1" si="10">SQRT(acc_x^2+acc_z^2)</f>
        <v>7.8079388385621113</v>
      </c>
      <c r="G5" s="306">
        <f t="shared" ref="G5:G68" ca="1" si="11">G4+acc_x*pas</f>
        <v>1.355675496446198E-2</v>
      </c>
      <c r="H5" s="307">
        <f t="shared" ref="H5:H68" ca="1" si="12">H4+acc_z*pas</f>
        <v>7.6893467118515343E-2</v>
      </c>
      <c r="I5" s="304">
        <f t="shared" ref="I5:I68" ca="1" si="13">SQRT(vit_x^2+vit_z^2)</f>
        <v>7.8079388385621118E-2</v>
      </c>
      <c r="J5" s="306">
        <f t="shared" ref="J5:J68" ca="1" si="14">J4+0.5*(vit_x+G4)*pas*(K4&gt;=0)</f>
        <v>6.7783774822309894E-5</v>
      </c>
      <c r="K5" s="307">
        <f t="shared" ref="K5:K68" ca="1" si="15">K4+0.5*(vit_z+H4)*pas</f>
        <v>3.8446733559257672E-4</v>
      </c>
      <c r="L5" s="304">
        <f t="shared" ca="1" si="0"/>
        <v>3.9039694192810555E-4</v>
      </c>
      <c r="M5" s="306">
        <f t="shared" ref="M5:M68" ca="1" si="16">IF(AND(L4&gt;L_rampe,G5&gt;0),ATAN2(G5,H5),$M$4)</f>
        <v>1.3962634015954636</v>
      </c>
      <c r="N5" s="304">
        <f t="shared" ref="N5:N68" ca="1" si="17">DEGREES(Beta)</f>
        <v>80</v>
      </c>
      <c r="P5" s="310">
        <f t="shared" ref="P5:P68" ca="1" si="18">MATCH(t-pas/2-T_ini,CdP_t)</f>
        <v>1</v>
      </c>
      <c r="Q5" s="304">
        <f t="shared" ref="Q5:Q68" ca="1" si="19">(INDEX(CdP,2,i_P+1)-INDEX(CdP,2,i_P+0))/(INDEX(CdP,1,i_P+1)-INDEX(CdP,1,i_P+0))*(t-pas/2-T_ini-INDEX(CdP,1,i_P+0))+INDEX(CdP,2,i_P+0)</f>
        <v>8</v>
      </c>
      <c r="R5" s="306">
        <f t="shared" ref="R5:R68" ca="1" si="20">Poussee/(g*ISP)</f>
        <v>4.3364224514775311E-3</v>
      </c>
      <c r="S5" s="307">
        <f t="shared" ref="S5:S68" ca="1" si="21">S4-Débit*pas</f>
        <v>0.45795663577548518</v>
      </c>
      <c r="T5" s="304">
        <f t="shared" ca="1" si="1"/>
        <v>4.4925545969575102</v>
      </c>
      <c r="U5" s="311">
        <f t="shared" ca="1" si="2"/>
        <v>0.78012391883086274</v>
      </c>
      <c r="V5" s="306">
        <f t="shared" ca="1" si="3"/>
        <v>1.2249999529027527</v>
      </c>
      <c r="W5" s="304">
        <f t="shared" ca="1" si="4"/>
        <v>7.8996685372903972E-6</v>
      </c>
      <c r="Y5" s="314" t="str">
        <f t="shared" ref="Y5:Y68" ca="1" si="22">IF(AND(pos_z&lt;=0,K4&gt;0),"Impact balistique","") &amp; IF(AND(H6&lt;0,vit_z&gt;=0),"Apogée","") &amp; IF(AND(Poussee=0,Q4&gt;0),"Fin de propulsion","") &amp; IF(AND(L6&gt;L_rampe,pos_xz&lt;=L_rampe),"Sortie de rampe","")</f>
        <v/>
      </c>
      <c r="Z5" s="315" t="str">
        <f t="shared" ref="Z5:Z68" ca="1" si="23">IF(ABS(t-T_para)&lt;pas/2,"Para","")</f>
        <v/>
      </c>
      <c r="AA5" s="316" t="str">
        <f t="shared" ref="AA5:AA68" ca="1" si="24">IF(ABS(t-T_satellite)&lt;pas/2,"Satellite","")</f>
        <v/>
      </c>
      <c r="AC5" s="310" t="e">
        <f t="shared" ref="AC5:AC68" ca="1" si="25">IF(ABS(t-ROUND(t,0))&lt;0.001,t,NA())</f>
        <v>#N/A</v>
      </c>
      <c r="AD5" s="323" t="e">
        <f t="shared" ref="AD5:AD68" ca="1" si="26">IF(ABS(t-ROUND(t,0))&lt;0.001,pos_x,NA())</f>
        <v>#N/A</v>
      </c>
      <c r="AE5" s="324">
        <f t="shared" ca="1" si="5"/>
        <v>3.8446733559257672E-4</v>
      </c>
      <c r="AG5" s="306">
        <f t="shared" ref="AG5:AG68" ca="1" si="27">IF(AND(L4&lt;L_rampe,Poussee&lt;Poids*SIN(M4)),0,(-W4+Poussee)/m-Poids*SIN(M4)/m)</f>
        <v>7.8079388368959162</v>
      </c>
      <c r="AH5" s="304">
        <f t="shared" ref="AH5:AH68" ca="1" si="28">IF(AND(L4&lt;L_rampe,Poussee&lt;Poids*SIN(M4)), g*SIN(M4), (-W4+Poussee)/m)</f>
        <v>17.468902893945678</v>
      </c>
    </row>
    <row r="6" spans="1:248" x14ac:dyDescent="0.3">
      <c r="A6" s="347">
        <f t="shared" ca="1" si="6"/>
        <v>0.01</v>
      </c>
      <c r="B6" s="304">
        <f t="shared" ca="1" si="7"/>
        <v>0.02</v>
      </c>
      <c r="D6" s="306">
        <f t="shared" ca="1" si="8"/>
        <v>13.116478364430328</v>
      </c>
      <c r="E6" s="307">
        <f t="shared" ca="1" si="9"/>
        <v>74.391775840314708</v>
      </c>
      <c r="F6" s="304">
        <f t="shared" ca="1" si="10"/>
        <v>75.539250177376005</v>
      </c>
      <c r="G6" s="306">
        <f t="shared" ca="1" si="11"/>
        <v>0.14472153860876527</v>
      </c>
      <c r="H6" s="307">
        <f t="shared" ca="1" si="12"/>
        <v>0.82081122552166241</v>
      </c>
      <c r="I6" s="304">
        <f t="shared" ca="1" si="13"/>
        <v>0.83347189015566792</v>
      </c>
      <c r="J6" s="306">
        <f t="shared" ca="1" si="14"/>
        <v>8.5917524268844616E-4</v>
      </c>
      <c r="K6" s="307">
        <f t="shared" ca="1" si="15"/>
        <v>4.8729907987934652E-3</v>
      </c>
      <c r="L6" s="304">
        <f t="shared" ca="1" si="0"/>
        <v>4.9481533346062067E-3</v>
      </c>
      <c r="M6" s="306">
        <f t="shared" ca="1" si="16"/>
        <v>1.3962634015954636</v>
      </c>
      <c r="N6" s="304">
        <f t="shared" ca="1" si="17"/>
        <v>80</v>
      </c>
      <c r="P6" s="310">
        <f t="shared" ca="1" si="18"/>
        <v>2</v>
      </c>
      <c r="Q6" s="304">
        <f t="shared" ca="1" si="19"/>
        <v>39</v>
      </c>
      <c r="R6" s="306">
        <f t="shared" ca="1" si="20"/>
        <v>2.1140059450952965E-2</v>
      </c>
      <c r="S6" s="307">
        <f t="shared" ca="1" si="21"/>
        <v>0.45774523518097565</v>
      </c>
      <c r="T6" s="304">
        <f t="shared" ca="1" si="1"/>
        <v>4.4904807571253711</v>
      </c>
      <c r="U6" s="311">
        <f t="shared" ca="1" si="2"/>
        <v>0.77976380032323866</v>
      </c>
      <c r="V6" s="306">
        <f t="shared" ca="1" si="3"/>
        <v>1.224999403058773</v>
      </c>
      <c r="W6" s="304">
        <f t="shared" ca="1" si="4"/>
        <v>9.001560054997293E-4</v>
      </c>
      <c r="Y6" s="314" t="str">
        <f t="shared" ca="1" si="22"/>
        <v/>
      </c>
      <c r="Z6" s="315" t="str">
        <f t="shared" ca="1" si="23"/>
        <v/>
      </c>
      <c r="AA6" s="316" t="str">
        <f t="shared" ca="1" si="24"/>
        <v/>
      </c>
      <c r="AC6" s="310" t="e">
        <f t="shared" ca="1" si="25"/>
        <v>#N/A</v>
      </c>
      <c r="AD6" s="323" t="e">
        <f t="shared" ca="1" si="26"/>
        <v>#N/A</v>
      </c>
      <c r="AE6" s="324">
        <f t="shared" ca="1" si="5"/>
        <v>4.8729907987934652E-3</v>
      </c>
      <c r="AG6" s="306">
        <f t="shared" ca="1" si="27"/>
        <v>75.539250173279243</v>
      </c>
      <c r="AH6" s="304">
        <f t="shared" ca="1" si="28"/>
        <v>85.20021423032901</v>
      </c>
    </row>
    <row r="7" spans="1:248" x14ac:dyDescent="0.3">
      <c r="A7" s="347">
        <f t="shared" ca="1" si="6"/>
        <v>0.01</v>
      </c>
      <c r="B7" s="304">
        <f t="shared" ca="1" si="7"/>
        <v>0.03</v>
      </c>
      <c r="D7" s="306">
        <f t="shared" ca="1" si="8"/>
        <v>22.807900774182727</v>
      </c>
      <c r="E7" s="307">
        <f t="shared" ca="1" si="9"/>
        <v>129.3575315721298</v>
      </c>
      <c r="F7" s="304">
        <f t="shared" ca="1" si="10"/>
        <v>131.35285041505389</v>
      </c>
      <c r="G7" s="306">
        <f t="shared" ca="1" si="11"/>
        <v>0.37280054635059257</v>
      </c>
      <c r="H7" s="307">
        <f t="shared" ca="1" si="12"/>
        <v>2.1143865412429603</v>
      </c>
      <c r="I7" s="304">
        <f t="shared" ca="1" si="13"/>
        <v>2.1470003943056621</v>
      </c>
      <c r="J7" s="306">
        <f t="shared" ca="1" si="14"/>
        <v>3.4467856674852354E-3</v>
      </c>
      <c r="K7" s="307">
        <f t="shared" ca="1" si="15"/>
        <v>1.9548979632616582E-2</v>
      </c>
      <c r="L7" s="304">
        <f t="shared" ca="1" si="0"/>
        <v>1.9850514756903397E-2</v>
      </c>
      <c r="M7" s="306">
        <f t="shared" ca="1" si="16"/>
        <v>1.3962634015954636</v>
      </c>
      <c r="N7" s="304">
        <f t="shared" ca="1" si="17"/>
        <v>80</v>
      </c>
      <c r="P7" s="310">
        <f t="shared" ca="1" si="18"/>
        <v>3</v>
      </c>
      <c r="Q7" s="304">
        <f t="shared" ca="1" si="19"/>
        <v>64.5</v>
      </c>
      <c r="R7" s="306">
        <f t="shared" ca="1" si="20"/>
        <v>3.4962406015037598E-2</v>
      </c>
      <c r="S7" s="307">
        <f t="shared" ca="1" si="21"/>
        <v>0.45739561112082527</v>
      </c>
      <c r="T7" s="304">
        <f t="shared" ca="1" si="1"/>
        <v>4.4870509450952962</v>
      </c>
      <c r="U7" s="311">
        <f t="shared" ca="1" si="2"/>
        <v>0.77916821971447603</v>
      </c>
      <c r="V7" s="306">
        <f t="shared" ca="1" si="3"/>
        <v>1.2249976052523361</v>
      </c>
      <c r="W7" s="304">
        <f t="shared" ca="1" si="4"/>
        <v>5.9730957920019175E-3</v>
      </c>
      <c r="Y7" s="314" t="str">
        <f t="shared" ca="1" si="22"/>
        <v/>
      </c>
      <c r="Z7" s="315" t="str">
        <f t="shared" ca="1" si="23"/>
        <v/>
      </c>
      <c r="AA7" s="316" t="str">
        <f t="shared" ca="1" si="24"/>
        <v/>
      </c>
      <c r="AC7" s="310" t="e">
        <f t="shared" ca="1" si="25"/>
        <v>#N/A</v>
      </c>
      <c r="AD7" s="323" t="e">
        <f t="shared" ca="1" si="26"/>
        <v>#N/A</v>
      </c>
      <c r="AE7" s="324">
        <f t="shared" ca="1" si="5"/>
        <v>1.9548979632616582E-2</v>
      </c>
      <c r="AG7" s="306">
        <f t="shared" ca="1" si="27"/>
        <v>131.35285040859989</v>
      </c>
      <c r="AH7" s="304">
        <f t="shared" ca="1" si="28"/>
        <v>141.01381446564966</v>
      </c>
    </row>
    <row r="8" spans="1:248" x14ac:dyDescent="0.3">
      <c r="A8" s="347">
        <f t="shared" ca="1" si="6"/>
        <v>0.01</v>
      </c>
      <c r="B8" s="304">
        <f t="shared" ca="1" si="7"/>
        <v>0.04</v>
      </c>
      <c r="D8" s="306">
        <f t="shared" ca="1" si="8"/>
        <v>24.535724938527654</v>
      </c>
      <c r="E8" s="307">
        <f t="shared" ca="1" si="9"/>
        <v>139.15703906357527</v>
      </c>
      <c r="F8" s="304">
        <f t="shared" ca="1" si="10"/>
        <v>141.30351488622108</v>
      </c>
      <c r="G8" s="306">
        <f t="shared" ca="1" si="11"/>
        <v>0.61815779573586904</v>
      </c>
      <c r="H8" s="307">
        <f t="shared" ca="1" si="12"/>
        <v>3.5059569318787132</v>
      </c>
      <c r="I8" s="304">
        <f t="shared" ca="1" si="13"/>
        <v>3.5600355431677122</v>
      </c>
      <c r="J8" s="306">
        <f t="shared" ca="1" si="14"/>
        <v>8.4015773779175448E-3</v>
      </c>
      <c r="K8" s="307">
        <f t="shared" ca="1" si="15"/>
        <v>4.7650696998224953E-2</v>
      </c>
      <c r="L8" s="304">
        <f t="shared" ca="1" si="0"/>
        <v>4.8385694444265034E-2</v>
      </c>
      <c r="M8" s="306">
        <f t="shared" ca="1" si="16"/>
        <v>1.3962634015954636</v>
      </c>
      <c r="N8" s="304">
        <f t="shared" ca="1" si="17"/>
        <v>80</v>
      </c>
      <c r="P8" s="310">
        <f t="shared" ca="1" si="18"/>
        <v>4</v>
      </c>
      <c r="Q8" s="304">
        <f t="shared" ca="1" si="19"/>
        <v>69</v>
      </c>
      <c r="R8" s="306">
        <f t="shared" ca="1" si="20"/>
        <v>3.7401643643993704E-2</v>
      </c>
      <c r="S8" s="307">
        <f t="shared" ca="1" si="21"/>
        <v>0.45702159468438536</v>
      </c>
      <c r="T8" s="304">
        <f t="shared" ca="1" si="1"/>
        <v>4.4833818438538202</v>
      </c>
      <c r="U8" s="311">
        <f t="shared" ca="1" si="2"/>
        <v>0.77853108697021822</v>
      </c>
      <c r="V8" s="306">
        <f t="shared" ca="1" si="3"/>
        <v>1.2249941628035252</v>
      </c>
      <c r="W8" s="304">
        <f t="shared" ca="1" si="4"/>
        <v>1.6422628880442176E-2</v>
      </c>
      <c r="Y8" s="314" t="str">
        <f t="shared" ca="1" si="22"/>
        <v/>
      </c>
      <c r="Z8" s="315" t="str">
        <f t="shared" ca="1" si="23"/>
        <v/>
      </c>
      <c r="AA8" s="316" t="str">
        <f t="shared" ca="1" si="24"/>
        <v/>
      </c>
      <c r="AC8" s="310" t="e">
        <f t="shared" ca="1" si="25"/>
        <v>#N/A</v>
      </c>
      <c r="AD8" s="323" t="e">
        <f t="shared" ca="1" si="26"/>
        <v>#N/A</v>
      </c>
      <c r="AE8" s="324">
        <f t="shared" ca="1" si="5"/>
        <v>4.7650696998224953E-2</v>
      </c>
      <c r="AG8" s="306">
        <f t="shared" ca="1" si="27"/>
        <v>141.30351487934402</v>
      </c>
      <c r="AH8" s="304">
        <f t="shared" ca="1" si="28"/>
        <v>150.96447893639379</v>
      </c>
    </row>
    <row r="9" spans="1:248" x14ac:dyDescent="0.3">
      <c r="A9" s="347">
        <f t="shared" ca="1" si="6"/>
        <v>0.01</v>
      </c>
      <c r="B9" s="304">
        <f t="shared" ca="1" si="7"/>
        <v>0.05</v>
      </c>
      <c r="D9" s="306">
        <f t="shared" ca="1" si="8"/>
        <v>24.489794962651075</v>
      </c>
      <c r="E9" s="307">
        <f t="shared" ca="1" si="9"/>
        <v>138.8965443782254</v>
      </c>
      <c r="F9" s="304">
        <f t="shared" ca="1" si="10"/>
        <v>141.03900204384965</v>
      </c>
      <c r="G9" s="306">
        <f t="shared" ca="1" si="11"/>
        <v>0.86305574536237983</v>
      </c>
      <c r="H9" s="307">
        <f t="shared" ca="1" si="12"/>
        <v>4.8949223756609674</v>
      </c>
      <c r="I9" s="304">
        <f t="shared" ca="1" si="13"/>
        <v>4.970425563606141</v>
      </c>
      <c r="J9" s="306">
        <f t="shared" ca="1" si="14"/>
        <v>1.5807645083408789E-2</v>
      </c>
      <c r="K9" s="307">
        <f t="shared" ca="1" si="15"/>
        <v>8.9655093535923353E-2</v>
      </c>
      <c r="L9" s="304">
        <f t="shared" ca="1" si="0"/>
        <v>9.1037999978131015E-2</v>
      </c>
      <c r="M9" s="306">
        <f t="shared" ca="1" si="16"/>
        <v>1.3962634015954636</v>
      </c>
      <c r="N9" s="304">
        <f t="shared" ca="1" si="17"/>
        <v>80</v>
      </c>
      <c r="P9" s="310">
        <f t="shared" ca="1" si="18"/>
        <v>5</v>
      </c>
      <c r="Q9" s="304">
        <f t="shared" ca="1" si="19"/>
        <v>68.833333333333329</v>
      </c>
      <c r="R9" s="306">
        <f t="shared" ca="1" si="20"/>
        <v>3.7311301509587926E-2</v>
      </c>
      <c r="S9" s="307">
        <f t="shared" ca="1" si="21"/>
        <v>0.45664848166928945</v>
      </c>
      <c r="T9" s="304">
        <f t="shared" ca="1" si="1"/>
        <v>4.4797216051757296</v>
      </c>
      <c r="U9" s="311">
        <f t="shared" ca="1" si="2"/>
        <v>0.7778954931939418</v>
      </c>
      <c r="V9" s="306">
        <f t="shared" ca="1" si="3"/>
        <v>1.2249890173002747</v>
      </c>
      <c r="W9" s="304">
        <f t="shared" ca="1" si="4"/>
        <v>3.2012481104019955E-2</v>
      </c>
      <c r="Y9" s="314" t="str">
        <f t="shared" ca="1" si="22"/>
        <v/>
      </c>
      <c r="Z9" s="315" t="str">
        <f t="shared" ca="1" si="23"/>
        <v/>
      </c>
      <c r="AA9" s="316" t="str">
        <f t="shared" ca="1" si="24"/>
        <v/>
      </c>
      <c r="AC9" s="310" t="e">
        <f t="shared" ca="1" si="25"/>
        <v>#N/A</v>
      </c>
      <c r="AD9" s="323" t="e">
        <f t="shared" ca="1" si="26"/>
        <v>#N/A</v>
      </c>
      <c r="AE9" s="324">
        <f t="shared" ca="1" si="5"/>
        <v>8.9655093535923353E-2</v>
      </c>
      <c r="AG9" s="306">
        <f t="shared" ca="1" si="27"/>
        <v>141.03900203698171</v>
      </c>
      <c r="AH9" s="304">
        <f t="shared" ca="1" si="28"/>
        <v>150.69996609403148</v>
      </c>
    </row>
    <row r="10" spans="1:248" x14ac:dyDescent="0.3">
      <c r="A10" s="347">
        <f t="shared" ca="1" si="6"/>
        <v>0.01</v>
      </c>
      <c r="B10" s="304">
        <f t="shared" ca="1" si="7"/>
        <v>6.0000000000000005E-2</v>
      </c>
      <c r="D10" s="306">
        <f t="shared" ca="1" si="8"/>
        <v>22.854913756354708</v>
      </c>
      <c r="E10" s="307">
        <f t="shared" ca="1" si="9"/>
        <v>129.62417346665995</v>
      </c>
      <c r="F10" s="304">
        <f t="shared" ca="1" si="10"/>
        <v>131.62360513876362</v>
      </c>
      <c r="G10" s="306">
        <f t="shared" ca="1" si="11"/>
        <v>1.0916048829259268</v>
      </c>
      <c r="H10" s="307">
        <f t="shared" ca="1" si="12"/>
        <v>6.1911641103275672</v>
      </c>
      <c r="I10" s="304">
        <f t="shared" ca="1" si="13"/>
        <v>6.2866616149937533</v>
      </c>
      <c r="J10" s="306">
        <f t="shared" ca="1" si="14"/>
        <v>2.5580948224850325E-2</v>
      </c>
      <c r="K10" s="307">
        <f t="shared" ca="1" si="15"/>
        <v>0.14508552596586602</v>
      </c>
      <c r="L10" s="304">
        <f t="shared" ca="1" si="0"/>
        <v>0.14732343587112831</v>
      </c>
      <c r="M10" s="306">
        <f t="shared" ca="1" si="16"/>
        <v>1.3962634015954636</v>
      </c>
      <c r="N10" s="304">
        <f t="shared" ca="1" si="17"/>
        <v>80</v>
      </c>
      <c r="P10" s="310">
        <f t="shared" ca="1" si="18"/>
        <v>5</v>
      </c>
      <c r="Q10" s="304">
        <f t="shared" ca="1" si="19"/>
        <v>64.5</v>
      </c>
      <c r="R10" s="306">
        <f t="shared" ca="1" si="20"/>
        <v>3.4962406015037598E-2</v>
      </c>
      <c r="S10" s="307">
        <f t="shared" ca="1" si="21"/>
        <v>0.45629885760913907</v>
      </c>
      <c r="T10" s="304">
        <f t="shared" ca="1" si="1"/>
        <v>4.4762917931456547</v>
      </c>
      <c r="U10" s="311">
        <f t="shared" ca="1" si="2"/>
        <v>0.77729991258517916</v>
      </c>
      <c r="V10" s="306">
        <f t="shared" ca="1" si="3"/>
        <v>1.2249822271519986</v>
      </c>
      <c r="W10" s="304">
        <f t="shared" ca="1" si="4"/>
        <v>5.1211789147850663E-2</v>
      </c>
      <c r="Y10" s="314" t="str">
        <f t="shared" ca="1" si="22"/>
        <v/>
      </c>
      <c r="Z10" s="315" t="str">
        <f t="shared" ca="1" si="23"/>
        <v/>
      </c>
      <c r="AA10" s="316" t="str">
        <f t="shared" ca="1" si="24"/>
        <v/>
      </c>
      <c r="AC10" s="310" t="e">
        <f t="shared" ca="1" si="25"/>
        <v>#N/A</v>
      </c>
      <c r="AD10" s="323" t="e">
        <f t="shared" ca="1" si="26"/>
        <v>#N/A</v>
      </c>
      <c r="AE10" s="324">
        <f t="shared" ca="1" si="5"/>
        <v>0.14508552596586602</v>
      </c>
      <c r="AG10" s="306">
        <f t="shared" ca="1" si="27"/>
        <v>131.62360513229191</v>
      </c>
      <c r="AH10" s="304">
        <f t="shared" ca="1" si="28"/>
        <v>141.28456918934168</v>
      </c>
    </row>
    <row r="11" spans="1:248" x14ac:dyDescent="0.3">
      <c r="A11" s="347">
        <f t="shared" ca="1" si="6"/>
        <v>0.01</v>
      </c>
      <c r="B11" s="304">
        <f t="shared" ca="1" si="7"/>
        <v>7.0000000000000007E-2</v>
      </c>
      <c r="D11" s="306">
        <f t="shared" ca="1" si="8"/>
        <v>21.214971272073555</v>
      </c>
      <c r="E11" s="307">
        <f t="shared" ca="1" si="9"/>
        <v>120.3230974947634</v>
      </c>
      <c r="F11" s="304">
        <f t="shared" ca="1" si="10"/>
        <v>122.17906038601396</v>
      </c>
      <c r="G11" s="306">
        <f t="shared" ca="1" si="11"/>
        <v>1.3037545956466623</v>
      </c>
      <c r="H11" s="307">
        <f t="shared" ca="1" si="12"/>
        <v>7.3943950852752014</v>
      </c>
      <c r="I11" s="304">
        <f t="shared" ca="1" si="13"/>
        <v>7.5084522188538863</v>
      </c>
      <c r="J11" s="306">
        <f t="shared" ca="1" si="14"/>
        <v>3.7557745617713273E-2</v>
      </c>
      <c r="K11" s="307">
        <f t="shared" ca="1" si="15"/>
        <v>0.21301332194387987</v>
      </c>
      <c r="L11" s="304">
        <f t="shared" ca="1" si="0"/>
        <v>0.21629900504036506</v>
      </c>
      <c r="M11" s="306">
        <f t="shared" ca="1" si="16"/>
        <v>1.3962634015954636</v>
      </c>
      <c r="N11" s="304">
        <f t="shared" ca="1" si="17"/>
        <v>80</v>
      </c>
      <c r="P11" s="310">
        <f t="shared" ca="1" si="18"/>
        <v>5</v>
      </c>
      <c r="Q11" s="304">
        <f t="shared" ca="1" si="19"/>
        <v>60.166666666666671</v>
      </c>
      <c r="R11" s="306">
        <f t="shared" ca="1" si="20"/>
        <v>3.261351052048727E-2</v>
      </c>
      <c r="S11" s="307">
        <f t="shared" ca="1" si="21"/>
        <v>0.45597272250393422</v>
      </c>
      <c r="T11" s="304">
        <f t="shared" ca="1" si="1"/>
        <v>4.4730924077635947</v>
      </c>
      <c r="U11" s="311">
        <f t="shared" ca="1" si="2"/>
        <v>0.7767443451439302</v>
      </c>
      <c r="V11" s="306">
        <f t="shared" ca="1" si="3"/>
        <v>1.224973906145979</v>
      </c>
      <c r="W11" s="304">
        <f t="shared" ca="1" si="4"/>
        <v>7.305125343278028E-2</v>
      </c>
      <c r="Y11" s="314" t="str">
        <f t="shared" ca="1" si="22"/>
        <v/>
      </c>
      <c r="Z11" s="315" t="str">
        <f t="shared" ca="1" si="23"/>
        <v/>
      </c>
      <c r="AA11" s="316" t="str">
        <f t="shared" ca="1" si="24"/>
        <v/>
      </c>
      <c r="AC11" s="310" t="e">
        <f t="shared" ca="1" si="25"/>
        <v>#N/A</v>
      </c>
      <c r="AD11" s="323" t="e">
        <f t="shared" ca="1" si="26"/>
        <v>#N/A</v>
      </c>
      <c r="AE11" s="324">
        <f t="shared" ca="1" si="5"/>
        <v>0.21301332194387987</v>
      </c>
      <c r="AG11" s="306">
        <f t="shared" ca="1" si="27"/>
        <v>122.17906037993865</v>
      </c>
      <c r="AH11" s="304">
        <f t="shared" ca="1" si="28"/>
        <v>131.84002443698841</v>
      </c>
    </row>
    <row r="12" spans="1:248" x14ac:dyDescent="0.3">
      <c r="A12" s="347">
        <f t="shared" ca="1" si="6"/>
        <v>0.01</v>
      </c>
      <c r="B12" s="304">
        <f t="shared" ca="1" si="7"/>
        <v>0.08</v>
      </c>
      <c r="D12" s="306">
        <f t="shared" ca="1" si="8"/>
        <v>20.7145682604204</v>
      </c>
      <c r="E12" s="307">
        <f t="shared" ca="1" si="9"/>
        <v>117.48502030145742</v>
      </c>
      <c r="F12" s="304">
        <f t="shared" ca="1" si="10"/>
        <v>119.29720589120886</v>
      </c>
      <c r="G12" s="306">
        <f t="shared" ca="1" si="11"/>
        <v>1.5109002782508663</v>
      </c>
      <c r="H12" s="307">
        <f t="shared" ca="1" si="12"/>
        <v>8.5692452882897747</v>
      </c>
      <c r="I12" s="304">
        <f t="shared" ca="1" si="13"/>
        <v>8.7014242777659714</v>
      </c>
      <c r="J12" s="306">
        <f t="shared" ca="1" si="14"/>
        <v>5.1631019987200918E-2</v>
      </c>
      <c r="K12" s="307">
        <f t="shared" ca="1" si="15"/>
        <v>0.29283152381170474</v>
      </c>
      <c r="L12" s="304">
        <f t="shared" ca="1" si="0"/>
        <v>0.29734838752346338</v>
      </c>
      <c r="M12" s="306">
        <f t="shared" ca="1" si="16"/>
        <v>1.3962634015954636</v>
      </c>
      <c r="N12" s="304">
        <f t="shared" ca="1" si="17"/>
        <v>80</v>
      </c>
      <c r="P12" s="310">
        <f t="shared" ca="1" si="18"/>
        <v>6</v>
      </c>
      <c r="Q12" s="304">
        <f t="shared" ca="1" si="19"/>
        <v>58.833333333333329</v>
      </c>
      <c r="R12" s="306">
        <f t="shared" ca="1" si="20"/>
        <v>3.1890773445241008E-2</v>
      </c>
      <c r="S12" s="307">
        <f t="shared" ca="1" si="21"/>
        <v>0.4556538147694818</v>
      </c>
      <c r="T12" s="304">
        <f t="shared" ca="1" si="1"/>
        <v>4.469963922888617</v>
      </c>
      <c r="U12" s="311">
        <f t="shared" ca="1" si="2"/>
        <v>0.77620108944653177</v>
      </c>
      <c r="V12" s="306">
        <f t="shared" ca="1" si="3"/>
        <v>1.2249641286635458</v>
      </c>
      <c r="W12" s="304">
        <f t="shared" ca="1" si="4"/>
        <v>9.8107916586771704E-2</v>
      </c>
      <c r="Y12" s="314" t="str">
        <f t="shared" ca="1" si="22"/>
        <v/>
      </c>
      <c r="Z12" s="315" t="str">
        <f t="shared" ca="1" si="23"/>
        <v/>
      </c>
      <c r="AA12" s="316" t="str">
        <f t="shared" ca="1" si="24"/>
        <v/>
      </c>
      <c r="AC12" s="310" t="e">
        <f t="shared" ca="1" si="25"/>
        <v>#N/A</v>
      </c>
      <c r="AD12" s="323" t="e">
        <f t="shared" ca="1" si="26"/>
        <v>#N/A</v>
      </c>
      <c r="AE12" s="324">
        <f t="shared" ca="1" si="5"/>
        <v>0.29283152381170474</v>
      </c>
      <c r="AG12" s="306">
        <f t="shared" ca="1" si="27"/>
        <v>119.29720588525117</v>
      </c>
      <c r="AH12" s="304">
        <f t="shared" ca="1" si="28"/>
        <v>128.95816994230094</v>
      </c>
    </row>
    <row r="13" spans="1:248" x14ac:dyDescent="0.3">
      <c r="A13" s="347">
        <f t="shared" ca="1" si="6"/>
        <v>0.01</v>
      </c>
      <c r="B13" s="304">
        <f t="shared" ca="1" si="7"/>
        <v>0.09</v>
      </c>
      <c r="D13" s="306">
        <f t="shared" ca="1" si="8"/>
        <v>21.356725408279424</v>
      </c>
      <c r="E13" s="307">
        <f t="shared" ca="1" si="9"/>
        <v>121.1270740467414</v>
      </c>
      <c r="F13" s="304">
        <f t="shared" ca="1" si="10"/>
        <v>122.99543807511489</v>
      </c>
      <c r="G13" s="306">
        <f t="shared" ca="1" si="11"/>
        <v>1.7244675323336605</v>
      </c>
      <c r="H13" s="307">
        <f t="shared" ca="1" si="12"/>
        <v>9.7805160287571891</v>
      </c>
      <c r="I13" s="304">
        <f t="shared" ca="1" si="13"/>
        <v>9.9313786585171169</v>
      </c>
      <c r="J13" s="306">
        <f t="shared" ca="1" si="14"/>
        <v>6.7807859040123555E-2</v>
      </c>
      <c r="K13" s="307">
        <f t="shared" ca="1" si="15"/>
        <v>0.38458033039693956</v>
      </c>
      <c r="L13" s="304">
        <f t="shared" ca="1" si="0"/>
        <v>0.3905124022048781</v>
      </c>
      <c r="M13" s="306">
        <f t="shared" ca="1" si="16"/>
        <v>1.3962634015954636</v>
      </c>
      <c r="N13" s="304">
        <f t="shared" ca="1" si="17"/>
        <v>80</v>
      </c>
      <c r="P13" s="310">
        <f t="shared" ca="1" si="18"/>
        <v>6</v>
      </c>
      <c r="Q13" s="304">
        <f t="shared" ca="1" si="19"/>
        <v>60.5</v>
      </c>
      <c r="R13" s="306">
        <f t="shared" ca="1" si="20"/>
        <v>3.2794194789298833E-2</v>
      </c>
      <c r="S13" s="307">
        <f t="shared" ca="1" si="21"/>
        <v>0.45532587282158882</v>
      </c>
      <c r="T13" s="304">
        <f t="shared" ca="1" si="1"/>
        <v>4.4667468123797862</v>
      </c>
      <c r="U13" s="311">
        <f t="shared" ca="1" si="2"/>
        <v>0.77564244406932026</v>
      </c>
      <c r="V13" s="306">
        <f t="shared" ca="1" si="3"/>
        <v>1.2249528898154092</v>
      </c>
      <c r="W13" s="304">
        <f t="shared" ca="1" si="4"/>
        <v>0.12780223820850206</v>
      </c>
      <c r="Y13" s="314" t="str">
        <f t="shared" ca="1" si="22"/>
        <v/>
      </c>
      <c r="Z13" s="315" t="str">
        <f t="shared" ca="1" si="23"/>
        <v/>
      </c>
      <c r="AA13" s="316" t="str">
        <f t="shared" ca="1" si="24"/>
        <v/>
      </c>
      <c r="AC13" s="310" t="e">
        <f t="shared" ca="1" si="25"/>
        <v>#N/A</v>
      </c>
      <c r="AD13" s="323" t="e">
        <f t="shared" ca="1" si="26"/>
        <v>#N/A</v>
      </c>
      <c r="AE13" s="324">
        <f t="shared" ca="1" si="5"/>
        <v>0.38458033039693956</v>
      </c>
      <c r="AG13" s="306">
        <f t="shared" ca="1" si="27"/>
        <v>122.9954380689955</v>
      </c>
      <c r="AH13" s="304">
        <f t="shared" ca="1" si="28"/>
        <v>132.65640212604526</v>
      </c>
    </row>
    <row r="14" spans="1:248" x14ac:dyDescent="0.3">
      <c r="A14" s="347">
        <f t="shared" ca="1" si="6"/>
        <v>0.01</v>
      </c>
      <c r="B14" s="304">
        <f t="shared" ca="1" si="7"/>
        <v>9.9999999999999992E-2</v>
      </c>
      <c r="D14" s="306">
        <f t="shared" ca="1" si="8"/>
        <v>21.99850838891259</v>
      </c>
      <c r="E14" s="307">
        <f t="shared" ca="1" si="9"/>
        <v>124.76700621620768</v>
      </c>
      <c r="F14" s="304">
        <f t="shared" ca="1" si="10"/>
        <v>126.69151594125103</v>
      </c>
      <c r="G14" s="306">
        <f t="shared" ca="1" si="11"/>
        <v>1.9444526162227864</v>
      </c>
      <c r="H14" s="307">
        <f t="shared" ca="1" si="12"/>
        <v>11.028186090919267</v>
      </c>
      <c r="I14" s="304">
        <f t="shared" ca="1" si="13"/>
        <v>11.198293817929622</v>
      </c>
      <c r="J14" s="306">
        <f t="shared" ca="1" si="14"/>
        <v>8.6152459782905796E-2</v>
      </c>
      <c r="K14" s="307">
        <f t="shared" ca="1" si="15"/>
        <v>0.48862384099532186</v>
      </c>
      <c r="L14" s="304">
        <f t="shared" ca="1" si="0"/>
        <v>0.49616076458711122</v>
      </c>
      <c r="M14" s="306">
        <f t="shared" ca="1" si="16"/>
        <v>1.3962634015954636</v>
      </c>
      <c r="N14" s="304">
        <f t="shared" ca="1" si="17"/>
        <v>80</v>
      </c>
      <c r="P14" s="310">
        <f t="shared" ca="1" si="18"/>
        <v>6</v>
      </c>
      <c r="Q14" s="304">
        <f t="shared" ca="1" si="19"/>
        <v>62.166666666666664</v>
      </c>
      <c r="R14" s="306">
        <f t="shared" ca="1" si="20"/>
        <v>3.3697616133356645E-2</v>
      </c>
      <c r="S14" s="307">
        <f t="shared" ca="1" si="21"/>
        <v>0.45498889666025527</v>
      </c>
      <c r="T14" s="304">
        <f t="shared" ca="1" si="1"/>
        <v>4.4634410762371042</v>
      </c>
      <c r="U14" s="311">
        <f t="shared" ca="1" si="2"/>
        <v>0.77506840901229579</v>
      </c>
      <c r="V14" s="306">
        <f t="shared" ca="1" si="3"/>
        <v>1.224940145041806</v>
      </c>
      <c r="W14" s="304">
        <f t="shared" ca="1" si="4"/>
        <v>0.16248698342465859</v>
      </c>
      <c r="Y14" s="314" t="str">
        <f t="shared" ca="1" si="22"/>
        <v/>
      </c>
      <c r="Z14" s="315" t="str">
        <f t="shared" ca="1" si="23"/>
        <v/>
      </c>
      <c r="AA14" s="316" t="str">
        <f t="shared" ca="1" si="24"/>
        <v/>
      </c>
      <c r="AC14" s="310" t="e">
        <f t="shared" ca="1" si="25"/>
        <v>#N/A</v>
      </c>
      <c r="AD14" s="323" t="e">
        <f t="shared" ca="1" si="26"/>
        <v>#N/A</v>
      </c>
      <c r="AE14" s="324">
        <f t="shared" ca="1" si="5"/>
        <v>0.48862384099532186</v>
      </c>
      <c r="AG14" s="306">
        <f t="shared" ca="1" si="27"/>
        <v>126.69151593496903</v>
      </c>
      <c r="AH14" s="304">
        <f t="shared" ca="1" si="28"/>
        <v>136.3524799920188</v>
      </c>
    </row>
    <row r="15" spans="1:248" x14ac:dyDescent="0.3">
      <c r="A15" s="347">
        <f t="shared" ca="1" si="6"/>
        <v>0.01</v>
      </c>
      <c r="B15" s="304">
        <f t="shared" ca="1" si="7"/>
        <v>0.10999999999999999</v>
      </c>
      <c r="D15" s="306">
        <f t="shared" ca="1" si="8"/>
        <v>22.397752823892603</v>
      </c>
      <c r="E15" s="307">
        <f t="shared" ca="1" si="9"/>
        <v>127.03136025503903</v>
      </c>
      <c r="F15" s="304">
        <f t="shared" ca="1" si="10"/>
        <v>128.99079742293907</v>
      </c>
      <c r="G15" s="306">
        <f t="shared" ca="1" si="11"/>
        <v>2.1684301444617127</v>
      </c>
      <c r="H15" s="307">
        <f t="shared" ca="1" si="12"/>
        <v>12.298499693469656</v>
      </c>
      <c r="I15" s="304">
        <f t="shared" ca="1" si="13"/>
        <v>12.488201792159009</v>
      </c>
      <c r="J15" s="306">
        <f t="shared" ca="1" si="14"/>
        <v>0.1067168735863283</v>
      </c>
      <c r="K15" s="307">
        <f t="shared" ca="1" si="15"/>
        <v>0.60525726991726647</v>
      </c>
      <c r="L15" s="304">
        <f t="shared" ca="1" si="0"/>
        <v>0.61459324263755388</v>
      </c>
      <c r="M15" s="306">
        <f t="shared" ca="1" si="16"/>
        <v>1.3962634015954636</v>
      </c>
      <c r="N15" s="304">
        <f t="shared" ca="1" si="17"/>
        <v>80</v>
      </c>
      <c r="P15" s="310">
        <f t="shared" ca="1" si="18"/>
        <v>7</v>
      </c>
      <c r="Q15" s="304">
        <f t="shared" ca="1" si="19"/>
        <v>63.199999999999996</v>
      </c>
      <c r="R15" s="306">
        <f t="shared" ca="1" si="20"/>
        <v>3.4257737366672494E-2</v>
      </c>
      <c r="S15" s="307">
        <f t="shared" ca="1" si="21"/>
        <v>0.45464631928658855</v>
      </c>
      <c r="T15" s="304">
        <f t="shared" ca="1" si="1"/>
        <v>4.4600803922014336</v>
      </c>
      <c r="U15" s="311">
        <f t="shared" ca="1" si="2"/>
        <v>0.77448483235378718</v>
      </c>
      <c r="V15" s="306">
        <f t="shared" ca="1" si="3"/>
        <v>1.2249258582281777</v>
      </c>
      <c r="W15" s="304">
        <f t="shared" ca="1" si="4"/>
        <v>0.20207361447931932</v>
      </c>
      <c r="Y15" s="314" t="str">
        <f t="shared" ca="1" si="22"/>
        <v/>
      </c>
      <c r="Z15" s="315" t="str">
        <f t="shared" ca="1" si="23"/>
        <v/>
      </c>
      <c r="AA15" s="316" t="str">
        <f t="shared" ca="1" si="24"/>
        <v/>
      </c>
      <c r="AC15" s="310" t="e">
        <f t="shared" ca="1" si="25"/>
        <v>#N/A</v>
      </c>
      <c r="AD15" s="323" t="e">
        <f t="shared" ca="1" si="26"/>
        <v>#N/A</v>
      </c>
      <c r="AE15" s="324">
        <f t="shared" ca="1" si="5"/>
        <v>0.60525726991726647</v>
      </c>
      <c r="AG15" s="306">
        <f t="shared" ca="1" si="27"/>
        <v>128.9907974165526</v>
      </c>
      <c r="AH15" s="304">
        <f t="shared" ca="1" si="28"/>
        <v>138.65176147360236</v>
      </c>
    </row>
    <row r="16" spans="1:248" x14ac:dyDescent="0.3">
      <c r="A16" s="347">
        <f t="shared" ca="1" si="6"/>
        <v>0.01</v>
      </c>
      <c r="B16" s="304">
        <f t="shared" ca="1" si="7"/>
        <v>0.11999999999999998</v>
      </c>
      <c r="D16" s="306">
        <f t="shared" ca="1" si="8"/>
        <v>22.553775532248938</v>
      </c>
      <c r="E16" s="307">
        <f t="shared" ca="1" si="9"/>
        <v>127.91626143314042</v>
      </c>
      <c r="F16" s="304">
        <f t="shared" ca="1" si="10"/>
        <v>129.88934802280977</v>
      </c>
      <c r="G16" s="306">
        <f t="shared" ca="1" si="11"/>
        <v>2.3939678997842022</v>
      </c>
      <c r="H16" s="307">
        <f t="shared" ca="1" si="12"/>
        <v>13.577662307801061</v>
      </c>
      <c r="I16" s="304">
        <f t="shared" ca="1" si="13"/>
        <v>13.787095272387104</v>
      </c>
      <c r="J16" s="306">
        <f t="shared" ca="1" si="14"/>
        <v>0.12952886380755788</v>
      </c>
      <c r="K16" s="307">
        <f t="shared" ca="1" si="15"/>
        <v>0.73463807992362007</v>
      </c>
      <c r="L16" s="304">
        <f t="shared" ca="1" si="0"/>
        <v>0.74596972796028393</v>
      </c>
      <c r="M16" s="306">
        <f t="shared" ca="1" si="16"/>
        <v>1.3962634015954636</v>
      </c>
      <c r="N16" s="304">
        <f t="shared" ca="1" si="17"/>
        <v>80</v>
      </c>
      <c r="P16" s="310">
        <f t="shared" ca="1" si="18"/>
        <v>7</v>
      </c>
      <c r="Q16" s="304">
        <f t="shared" ca="1" si="19"/>
        <v>63.6</v>
      </c>
      <c r="R16" s="306">
        <f t="shared" ca="1" si="20"/>
        <v>3.4474558489246375E-2</v>
      </c>
      <c r="S16" s="307">
        <f t="shared" ca="1" si="21"/>
        <v>0.4543015737016961</v>
      </c>
      <c r="T16" s="304">
        <f t="shared" ca="1" si="1"/>
        <v>4.456698438013639</v>
      </c>
      <c r="U16" s="311">
        <f t="shared" ca="1" si="2"/>
        <v>0.77389756217212369</v>
      </c>
      <c r="V16" s="306">
        <f t="shared" ca="1" si="3"/>
        <v>1.2249100101407082</v>
      </c>
      <c r="W16" s="304">
        <f t="shared" ca="1" si="4"/>
        <v>0.24629167296649646</v>
      </c>
      <c r="Y16" s="314" t="str">
        <f t="shared" ca="1" si="22"/>
        <v/>
      </c>
      <c r="Z16" s="315" t="str">
        <f t="shared" ca="1" si="23"/>
        <v/>
      </c>
      <c r="AA16" s="316" t="str">
        <f t="shared" ca="1" si="24"/>
        <v/>
      </c>
      <c r="AC16" s="310" t="e">
        <f t="shared" ca="1" si="25"/>
        <v>#N/A</v>
      </c>
      <c r="AD16" s="323" t="e">
        <f t="shared" ca="1" si="26"/>
        <v>#N/A</v>
      </c>
      <c r="AE16" s="324">
        <f t="shared" ca="1" si="5"/>
        <v>0.73463807992362007</v>
      </c>
      <c r="AG16" s="306">
        <f t="shared" ca="1" si="27"/>
        <v>129.88934801637723</v>
      </c>
      <c r="AH16" s="304">
        <f t="shared" ca="1" si="28"/>
        <v>139.55031207342699</v>
      </c>
    </row>
    <row r="17" spans="1:34" x14ac:dyDescent="0.3">
      <c r="A17" s="347">
        <f t="shared" ca="1" si="6"/>
        <v>0.01</v>
      </c>
      <c r="B17" s="304">
        <f t="shared" ca="1" si="7"/>
        <v>0.12999999999999998</v>
      </c>
      <c r="D17" s="306">
        <f t="shared" ca="1" si="8"/>
        <v>22.708380069009955</v>
      </c>
      <c r="E17" s="307">
        <f t="shared" ca="1" si="9"/>
        <v>128.79311987589423</v>
      </c>
      <c r="F17" s="304">
        <f t="shared" ca="1" si="10"/>
        <v>130.77973181164225</v>
      </c>
      <c r="G17" s="306">
        <f t="shared" ca="1" si="11"/>
        <v>2.6210517004743017</v>
      </c>
      <c r="H17" s="307">
        <f t="shared" ca="1" si="12"/>
        <v>14.865593506560003</v>
      </c>
      <c r="I17" s="304">
        <f t="shared" ca="1" si="13"/>
        <v>15.094892590503523</v>
      </c>
      <c r="J17" s="306">
        <f t="shared" ca="1" si="14"/>
        <v>0.15460396180885039</v>
      </c>
      <c r="K17" s="307">
        <f t="shared" ca="1" si="15"/>
        <v>0.87685435899542541</v>
      </c>
      <c r="L17" s="304">
        <f t="shared" ca="1" si="0"/>
        <v>0.89037966727473672</v>
      </c>
      <c r="M17" s="306">
        <f t="shared" ca="1" si="16"/>
        <v>1.3962634015954636</v>
      </c>
      <c r="N17" s="304">
        <f t="shared" ca="1" si="17"/>
        <v>80</v>
      </c>
      <c r="P17" s="310">
        <f t="shared" ca="1" si="18"/>
        <v>7</v>
      </c>
      <c r="Q17" s="304">
        <f t="shared" ca="1" si="19"/>
        <v>64</v>
      </c>
      <c r="R17" s="306">
        <f t="shared" ca="1" si="20"/>
        <v>3.4691379611820249E-2</v>
      </c>
      <c r="S17" s="307">
        <f t="shared" ca="1" si="21"/>
        <v>0.45395465990557793</v>
      </c>
      <c r="T17" s="304">
        <f t="shared" ca="1" si="1"/>
        <v>4.4532952136737194</v>
      </c>
      <c r="U17" s="311">
        <f t="shared" ca="1" si="2"/>
        <v>0.77330659846730487</v>
      </c>
      <c r="V17" s="306">
        <f t="shared" ca="1" si="3"/>
        <v>1.2248925900501675</v>
      </c>
      <c r="W17" s="304">
        <f t="shared" ca="1" si="4"/>
        <v>0.29522834584173352</v>
      </c>
      <c r="Y17" s="314" t="str">
        <f t="shared" ca="1" si="22"/>
        <v/>
      </c>
      <c r="Z17" s="315" t="str">
        <f t="shared" ca="1" si="23"/>
        <v/>
      </c>
      <c r="AA17" s="316" t="str">
        <f t="shared" ca="1" si="24"/>
        <v/>
      </c>
      <c r="AC17" s="310" t="e">
        <f t="shared" ca="1" si="25"/>
        <v>#N/A</v>
      </c>
      <c r="AD17" s="323" t="e">
        <f t="shared" ca="1" si="26"/>
        <v>#N/A</v>
      </c>
      <c r="AE17" s="324">
        <f t="shared" ca="1" si="5"/>
        <v>0.87685435899542541</v>
      </c>
      <c r="AG17" s="306">
        <f t="shared" ca="1" si="27"/>
        <v>130.77973180516298</v>
      </c>
      <c r="AH17" s="304">
        <f t="shared" ca="1" si="28"/>
        <v>140.44069586221275</v>
      </c>
    </row>
    <row r="18" spans="1:34" x14ac:dyDescent="0.3">
      <c r="A18" s="347">
        <f t="shared" ca="1" si="6"/>
        <v>0.01</v>
      </c>
      <c r="B18" s="304">
        <f t="shared" ca="1" si="7"/>
        <v>0.13999999999999999</v>
      </c>
      <c r="D18" s="306">
        <f t="shared" ca="1" si="8"/>
        <v>22.861532020665994</v>
      </c>
      <c r="E18" s="307">
        <f t="shared" ca="1" si="9"/>
        <v>129.66174041560714</v>
      </c>
      <c r="F18" s="304">
        <f t="shared" ca="1" si="10"/>
        <v>131.66175061093571</v>
      </c>
      <c r="G18" s="306">
        <f t="shared" ca="1" si="11"/>
        <v>2.8496670206809616</v>
      </c>
      <c r="H18" s="307">
        <f t="shared" ca="1" si="12"/>
        <v>16.162210910716073</v>
      </c>
      <c r="I18" s="304">
        <f t="shared" ca="1" si="13"/>
        <v>16.411510096612879</v>
      </c>
      <c r="J18" s="306">
        <f t="shared" ca="1" si="14"/>
        <v>0.18195755541462671</v>
      </c>
      <c r="K18" s="307">
        <f t="shared" ca="1" si="15"/>
        <v>1.0319933810818058</v>
      </c>
      <c r="L18" s="304">
        <f t="shared" ca="1" si="0"/>
        <v>1.0479116807103184</v>
      </c>
      <c r="M18" s="306">
        <f t="shared" ca="1" si="16"/>
        <v>1.3962634015954636</v>
      </c>
      <c r="N18" s="304">
        <f t="shared" ca="1" si="17"/>
        <v>80</v>
      </c>
      <c r="P18" s="310">
        <f t="shared" ca="1" si="18"/>
        <v>7</v>
      </c>
      <c r="Q18" s="304">
        <f t="shared" ca="1" si="19"/>
        <v>64.400000000000006</v>
      </c>
      <c r="R18" s="306">
        <f t="shared" ca="1" si="20"/>
        <v>3.4908200734394129E-2</v>
      </c>
      <c r="S18" s="307">
        <f t="shared" ca="1" si="21"/>
        <v>0.45360557789823397</v>
      </c>
      <c r="T18" s="304">
        <f t="shared" ca="1" si="1"/>
        <v>4.4498707191816758</v>
      </c>
      <c r="U18" s="311">
        <f t="shared" ca="1" si="2"/>
        <v>0.77271194123933107</v>
      </c>
      <c r="V18" s="306">
        <f t="shared" ca="1" si="3"/>
        <v>1.2248735873336694</v>
      </c>
      <c r="W18" s="304">
        <f t="shared" ca="1" si="4"/>
        <v>0.34897020610049817</v>
      </c>
      <c r="Y18" s="314" t="str">
        <f t="shared" ca="1" si="22"/>
        <v/>
      </c>
      <c r="Z18" s="315" t="str">
        <f t="shared" ca="1" si="23"/>
        <v/>
      </c>
      <c r="AA18" s="316" t="str">
        <f t="shared" ca="1" si="24"/>
        <v/>
      </c>
      <c r="AC18" s="310" t="e">
        <f t="shared" ca="1" si="25"/>
        <v>#N/A</v>
      </c>
      <c r="AD18" s="323" t="e">
        <f t="shared" ca="1" si="26"/>
        <v>#N/A</v>
      </c>
      <c r="AE18" s="324">
        <f t="shared" ca="1" si="5"/>
        <v>1.0319933810818058</v>
      </c>
      <c r="AG18" s="306">
        <f t="shared" ca="1" si="27"/>
        <v>131.66175060440909</v>
      </c>
      <c r="AH18" s="304">
        <f t="shared" ca="1" si="28"/>
        <v>141.32271466145886</v>
      </c>
    </row>
    <row r="19" spans="1:34" x14ac:dyDescent="0.3">
      <c r="A19" s="347">
        <f t="shared" ca="1" si="6"/>
        <v>0.01</v>
      </c>
      <c r="B19" s="304">
        <f t="shared" ca="1" si="7"/>
        <v>0.15</v>
      </c>
      <c r="D19" s="306">
        <f t="shared" ca="1" si="8"/>
        <v>23.013197061544719</v>
      </c>
      <c r="E19" s="307">
        <f t="shared" ca="1" si="9"/>
        <v>130.5219283827424</v>
      </c>
      <c r="F19" s="304">
        <f t="shared" ca="1" si="10"/>
        <v>132.53520674803065</v>
      </c>
      <c r="G19" s="306">
        <f t="shared" ca="1" si="11"/>
        <v>3.0797989912964088</v>
      </c>
      <c r="H19" s="307">
        <f t="shared" ca="1" si="12"/>
        <v>17.467430194543496</v>
      </c>
      <c r="I19" s="304">
        <f t="shared" ca="1" si="13"/>
        <v>17.736862164093179</v>
      </c>
      <c r="J19" s="306">
        <f t="shared" ca="1" si="14"/>
        <v>0.21160488547451356</v>
      </c>
      <c r="K19" s="307">
        <f t="shared" ca="1" si="15"/>
        <v>1.2001415866081038</v>
      </c>
      <c r="L19" s="304">
        <f t="shared" ca="1" si="0"/>
        <v>1.2186535420138485</v>
      </c>
      <c r="M19" s="306">
        <f t="shared" ca="1" si="16"/>
        <v>1.3962634015954636</v>
      </c>
      <c r="N19" s="304">
        <f t="shared" ca="1" si="17"/>
        <v>80</v>
      </c>
      <c r="P19" s="310">
        <f t="shared" ca="1" si="18"/>
        <v>7</v>
      </c>
      <c r="Q19" s="304">
        <f t="shared" ca="1" si="19"/>
        <v>64.8</v>
      </c>
      <c r="R19" s="306">
        <f t="shared" ca="1" si="20"/>
        <v>3.5125021856968003E-2</v>
      </c>
      <c r="S19" s="307">
        <f t="shared" ca="1" si="21"/>
        <v>0.45325432767966428</v>
      </c>
      <c r="T19" s="304">
        <f t="shared" ca="1" si="1"/>
        <v>4.4464249545375072</v>
      </c>
      <c r="U19" s="311">
        <f t="shared" ca="1" si="2"/>
        <v>0.77211359048820205</v>
      </c>
      <c r="V19" s="306">
        <f t="shared" ca="1" si="3"/>
        <v>1.2248529914771928</v>
      </c>
      <c r="W19" s="304">
        <f t="shared" ca="1" si="4"/>
        <v>0.40760315875324421</v>
      </c>
      <c r="Y19" s="314" t="str">
        <f t="shared" ca="1" si="22"/>
        <v/>
      </c>
      <c r="Z19" s="315" t="str">
        <f t="shared" ca="1" si="23"/>
        <v/>
      </c>
      <c r="AA19" s="316" t="str">
        <f t="shared" ca="1" si="24"/>
        <v/>
      </c>
      <c r="AC19" s="310" t="e">
        <f t="shared" ca="1" si="25"/>
        <v>#N/A</v>
      </c>
      <c r="AD19" s="323" t="e">
        <f t="shared" ca="1" si="26"/>
        <v>#N/A</v>
      </c>
      <c r="AE19" s="324">
        <f t="shared" ca="1" si="5"/>
        <v>1.2001415866081038</v>
      </c>
      <c r="AG19" s="306">
        <f t="shared" ca="1" si="27"/>
        <v>132.53520674145611</v>
      </c>
      <c r="AH19" s="304">
        <f t="shared" ca="1" si="28"/>
        <v>142.19617079850588</v>
      </c>
    </row>
    <row r="20" spans="1:34" x14ac:dyDescent="0.3">
      <c r="A20" s="347">
        <f t="shared" ca="1" si="6"/>
        <v>0.01</v>
      </c>
      <c r="B20" s="304">
        <f t="shared" ca="1" si="7"/>
        <v>0.16</v>
      </c>
      <c r="D20" s="306">
        <f t="shared" ca="1" si="8"/>
        <v>23.163340973220276</v>
      </c>
      <c r="E20" s="307">
        <f t="shared" ca="1" si="9"/>
        <v>131.37348971599502</v>
      </c>
      <c r="F20" s="304">
        <f t="shared" ca="1" si="10"/>
        <v>133.39990316788209</v>
      </c>
      <c r="G20" s="306">
        <f t="shared" ca="1" si="11"/>
        <v>3.3114324010286116</v>
      </c>
      <c r="H20" s="307">
        <f t="shared" ca="1" si="12"/>
        <v>18.781165091703446</v>
      </c>
      <c r="I20" s="304">
        <f t="shared" ca="1" si="13"/>
        <v>19.070861195772</v>
      </c>
      <c r="J20" s="306">
        <f t="shared" ca="1" si="14"/>
        <v>0.24356104243613866</v>
      </c>
      <c r="K20" s="307">
        <f t="shared" ca="1" si="15"/>
        <v>1.3813845630393384</v>
      </c>
      <c r="L20" s="304">
        <f t="shared" ca="1" si="0"/>
        <v>1.402692158813174</v>
      </c>
      <c r="M20" s="306">
        <f t="shared" ca="1" si="16"/>
        <v>1.3962634015954636</v>
      </c>
      <c r="N20" s="304">
        <f t="shared" ca="1" si="17"/>
        <v>80</v>
      </c>
      <c r="P20" s="310">
        <f t="shared" ca="1" si="18"/>
        <v>7</v>
      </c>
      <c r="Q20" s="304">
        <f t="shared" ca="1" si="19"/>
        <v>65.2</v>
      </c>
      <c r="R20" s="306">
        <f t="shared" ca="1" si="20"/>
        <v>3.5341842979541883E-2</v>
      </c>
      <c r="S20" s="307">
        <f t="shared" ca="1" si="21"/>
        <v>0.45290090924986887</v>
      </c>
      <c r="T20" s="304">
        <f t="shared" ca="1" si="1"/>
        <v>4.4429579197412137</v>
      </c>
      <c r="U20" s="311">
        <f t="shared" ca="1" si="2"/>
        <v>0.77151154621391782</v>
      </c>
      <c r="V20" s="306">
        <f t="shared" ca="1" si="3"/>
        <v>1.2248307920780883</v>
      </c>
      <c r="W20" s="304">
        <f t="shared" ca="1" si="4"/>
        <v>0.47121238647579416</v>
      </c>
      <c r="Y20" s="314" t="str">
        <f t="shared" ca="1" si="22"/>
        <v/>
      </c>
      <c r="Z20" s="315" t="str">
        <f t="shared" ca="1" si="23"/>
        <v/>
      </c>
      <c r="AA20" s="316" t="str">
        <f t="shared" ca="1" si="24"/>
        <v/>
      </c>
      <c r="AC20" s="310" t="e">
        <f t="shared" ca="1" si="25"/>
        <v>#N/A</v>
      </c>
      <c r="AD20" s="323" t="e">
        <f t="shared" ca="1" si="26"/>
        <v>#N/A</v>
      </c>
      <c r="AE20" s="324">
        <f t="shared" ca="1" si="5"/>
        <v>1.3813845630393384</v>
      </c>
      <c r="AG20" s="306">
        <f t="shared" ca="1" si="27"/>
        <v>133.39990316125892</v>
      </c>
      <c r="AH20" s="304">
        <f t="shared" ca="1" si="28"/>
        <v>143.06086721830869</v>
      </c>
    </row>
    <row r="21" spans="1:34" x14ac:dyDescent="0.3">
      <c r="A21" s="347">
        <f t="shared" ca="1" si="6"/>
        <v>0.01</v>
      </c>
      <c r="B21" s="304">
        <f t="shared" ca="1" si="7"/>
        <v>0.17</v>
      </c>
      <c r="D21" s="306">
        <f t="shared" ca="1" si="8"/>
        <v>23.311929664144685</v>
      </c>
      <c r="E21" s="307">
        <f t="shared" ca="1" si="9"/>
        <v>132.21623107362669</v>
      </c>
      <c r="F21" s="304">
        <f t="shared" ca="1" si="10"/>
        <v>134.25564354611197</v>
      </c>
      <c r="G21" s="306">
        <f t="shared" ca="1" si="11"/>
        <v>3.5445516976700584</v>
      </c>
      <c r="H21" s="307">
        <f t="shared" ca="1" si="12"/>
        <v>20.103327402439714</v>
      </c>
      <c r="I21" s="304">
        <f t="shared" ca="1" si="13"/>
        <v>20.41341763123312</v>
      </c>
      <c r="J21" s="306">
        <f t="shared" ca="1" si="14"/>
        <v>0.27784096292963201</v>
      </c>
      <c r="K21" s="307">
        <f t="shared" ca="1" si="15"/>
        <v>1.5758070255100542</v>
      </c>
      <c r="L21" s="304">
        <f t="shared" ca="1" si="0"/>
        <v>1.6001135529481993</v>
      </c>
      <c r="M21" s="306">
        <f t="shared" ca="1" si="16"/>
        <v>1.3962634015954636</v>
      </c>
      <c r="N21" s="304">
        <f t="shared" ca="1" si="17"/>
        <v>80</v>
      </c>
      <c r="P21" s="310">
        <f t="shared" ca="1" si="18"/>
        <v>7</v>
      </c>
      <c r="Q21" s="304">
        <f t="shared" ca="1" si="19"/>
        <v>65.599999999999994</v>
      </c>
      <c r="R21" s="306">
        <f t="shared" ca="1" si="20"/>
        <v>3.555866410211575E-2</v>
      </c>
      <c r="S21" s="307">
        <f t="shared" ca="1" si="21"/>
        <v>0.45254532260884772</v>
      </c>
      <c r="T21" s="304">
        <f t="shared" ca="1" si="1"/>
        <v>4.4394696147927961</v>
      </c>
      <c r="U21" s="311">
        <f t="shared" ca="1" si="2"/>
        <v>0.7709058084164786</v>
      </c>
      <c r="V21" s="306">
        <f t="shared" ca="1" si="3"/>
        <v>1.2248069788475793</v>
      </c>
      <c r="W21" s="304">
        <f t="shared" ca="1" si="4"/>
        <v>0.5398822949828278</v>
      </c>
      <c r="Y21" s="314" t="str">
        <f t="shared" ca="1" si="22"/>
        <v/>
      </c>
      <c r="Z21" s="315" t="str">
        <f t="shared" ca="1" si="23"/>
        <v/>
      </c>
      <c r="AA21" s="316" t="str">
        <f t="shared" ca="1" si="24"/>
        <v/>
      </c>
      <c r="AC21" s="310" t="e">
        <f t="shared" ca="1" si="25"/>
        <v>#N/A</v>
      </c>
      <c r="AD21" s="323" t="e">
        <f t="shared" ca="1" si="26"/>
        <v>#N/A</v>
      </c>
      <c r="AE21" s="324">
        <f t="shared" ca="1" si="5"/>
        <v>1.5758070255100542</v>
      </c>
      <c r="AG21" s="306">
        <f t="shared" ca="1" si="27"/>
        <v>134.25564353943955</v>
      </c>
      <c r="AH21" s="304">
        <f t="shared" ca="1" si="28"/>
        <v>143.91660759648931</v>
      </c>
    </row>
    <row r="22" spans="1:34" x14ac:dyDescent="0.3">
      <c r="A22" s="347">
        <f t="shared" ca="1" si="6"/>
        <v>0.01</v>
      </c>
      <c r="B22" s="304">
        <f t="shared" ca="1" si="7"/>
        <v>0.18000000000000002</v>
      </c>
      <c r="D22" s="306">
        <f t="shared" ca="1" si="8"/>
        <v>23.458929189486675</v>
      </c>
      <c r="E22" s="307">
        <f t="shared" ca="1" si="9"/>
        <v>133.04995994597749</v>
      </c>
      <c r="F22" s="304">
        <f t="shared" ca="1" si="10"/>
        <v>135.10223240325661</v>
      </c>
      <c r="G22" s="306">
        <f t="shared" ca="1" si="11"/>
        <v>3.7791409895649251</v>
      </c>
      <c r="H22" s="307">
        <f t="shared" ca="1" si="12"/>
        <v>21.433827001899488</v>
      </c>
      <c r="I22" s="304">
        <f t="shared" ca="1" si="13"/>
        <v>21.764439955265683</v>
      </c>
      <c r="J22" s="306">
        <f t="shared" ca="1" si="14"/>
        <v>0.31445942636580693</v>
      </c>
      <c r="K22" s="307">
        <f t="shared" ca="1" si="15"/>
        <v>1.7834927975317503</v>
      </c>
      <c r="L22" s="304">
        <f t="shared" ca="1" si="0"/>
        <v>1.8110028408806931</v>
      </c>
      <c r="M22" s="306">
        <f t="shared" ca="1" si="16"/>
        <v>1.3962634015954636</v>
      </c>
      <c r="N22" s="304">
        <f t="shared" ca="1" si="17"/>
        <v>80</v>
      </c>
      <c r="P22" s="310">
        <f t="shared" ca="1" si="18"/>
        <v>7</v>
      </c>
      <c r="Q22" s="304">
        <f t="shared" ca="1" si="19"/>
        <v>66</v>
      </c>
      <c r="R22" s="306">
        <f t="shared" ca="1" si="20"/>
        <v>3.5775485224689631E-2</v>
      </c>
      <c r="S22" s="307">
        <f t="shared" ca="1" si="21"/>
        <v>0.45218756775660085</v>
      </c>
      <c r="T22" s="304">
        <f t="shared" ca="1" si="1"/>
        <v>4.4359600396922545</v>
      </c>
      <c r="U22" s="311">
        <f t="shared" ca="1" si="2"/>
        <v>0.77029637709588428</v>
      </c>
      <c r="V22" s="306">
        <f t="shared" ca="1" si="3"/>
        <v>1.2247815416132506</v>
      </c>
      <c r="W22" s="304">
        <f t="shared" ca="1" si="4"/>
        <v>0.61369645817359408</v>
      </c>
      <c r="Y22" s="314" t="str">
        <f t="shared" ca="1" si="22"/>
        <v/>
      </c>
      <c r="Z22" s="315" t="str">
        <f t="shared" ca="1" si="23"/>
        <v/>
      </c>
      <c r="AA22" s="316" t="str">
        <f t="shared" ca="1" si="24"/>
        <v/>
      </c>
      <c r="AC22" s="310" t="e">
        <f t="shared" ca="1" si="25"/>
        <v>#N/A</v>
      </c>
      <c r="AD22" s="323" t="e">
        <f t="shared" ca="1" si="26"/>
        <v>#N/A</v>
      </c>
      <c r="AE22" s="324">
        <f t="shared" ca="1" si="5"/>
        <v>1.7834927975317503</v>
      </c>
      <c r="AG22" s="306">
        <f t="shared" ca="1" si="27"/>
        <v>135.1022323965343</v>
      </c>
      <c r="AH22" s="304">
        <f t="shared" ca="1" si="28"/>
        <v>144.76319645358407</v>
      </c>
    </row>
    <row r="23" spans="1:34" x14ac:dyDescent="0.3">
      <c r="A23" s="347">
        <f t="shared" ca="1" si="6"/>
        <v>0.01</v>
      </c>
      <c r="B23" s="304">
        <f t="shared" ca="1" si="7"/>
        <v>0.19000000000000003</v>
      </c>
      <c r="D23" s="306">
        <f t="shared" ca="1" si="8"/>
        <v>23.604305771161791</v>
      </c>
      <c r="E23" s="307">
        <f t="shared" ca="1" si="9"/>
        <v>133.87448476906275</v>
      </c>
      <c r="F23" s="304">
        <f t="shared" ca="1" si="10"/>
        <v>135.93947522011595</v>
      </c>
      <c r="G23" s="306">
        <f t="shared" ca="1" si="11"/>
        <v>4.0151840472765432</v>
      </c>
      <c r="H23" s="307">
        <f t="shared" ca="1" si="12"/>
        <v>22.772571849590115</v>
      </c>
      <c r="I23" s="304">
        <f t="shared" ca="1" si="13"/>
        <v>23.123834707466845</v>
      </c>
      <c r="J23" s="306">
        <f t="shared" ca="1" si="14"/>
        <v>0.35343105155001425</v>
      </c>
      <c r="K23" s="307">
        <f t="shared" ca="1" si="15"/>
        <v>2.0045247917891982</v>
      </c>
      <c r="L23" s="304">
        <f t="shared" ca="1" si="0"/>
        <v>2.0354442141943556</v>
      </c>
      <c r="M23" s="306">
        <f t="shared" ca="1" si="16"/>
        <v>1.3962634015954636</v>
      </c>
      <c r="N23" s="304">
        <f t="shared" ca="1" si="17"/>
        <v>80</v>
      </c>
      <c r="P23" s="310">
        <f t="shared" ca="1" si="18"/>
        <v>7</v>
      </c>
      <c r="Q23" s="304">
        <f t="shared" ca="1" si="19"/>
        <v>66.400000000000006</v>
      </c>
      <c r="R23" s="306">
        <f t="shared" ca="1" si="20"/>
        <v>3.5992306347263511E-2</v>
      </c>
      <c r="S23" s="307">
        <f t="shared" ca="1" si="21"/>
        <v>0.45182764469312819</v>
      </c>
      <c r="T23" s="304">
        <f t="shared" ca="1" si="1"/>
        <v>4.4324291944395879</v>
      </c>
      <c r="U23" s="311">
        <f t="shared" ca="1" si="2"/>
        <v>0.76968325225213485</v>
      </c>
      <c r="V23" s="306">
        <f t="shared" ca="1" si="3"/>
        <v>1.2247544703215225</v>
      </c>
      <c r="W23" s="304">
        <f t="shared" ca="1" si="4"/>
        <v>0.69273756310021717</v>
      </c>
      <c r="Y23" s="314" t="str">
        <f t="shared" ca="1" si="22"/>
        <v/>
      </c>
      <c r="Z23" s="315" t="str">
        <f t="shared" ca="1" si="23"/>
        <v/>
      </c>
      <c r="AA23" s="316" t="str">
        <f t="shared" ca="1" si="24"/>
        <v/>
      </c>
      <c r="AC23" s="310" t="e">
        <f t="shared" ca="1" si="25"/>
        <v>#N/A</v>
      </c>
      <c r="AD23" s="323" t="e">
        <f t="shared" ca="1" si="26"/>
        <v>#N/A</v>
      </c>
      <c r="AE23" s="324">
        <f t="shared" ca="1" si="5"/>
        <v>2.0045247917891982</v>
      </c>
      <c r="AG23" s="306">
        <f t="shared" ca="1" si="27"/>
        <v>135.939475213343</v>
      </c>
      <c r="AH23" s="304">
        <f t="shared" ca="1" si="28"/>
        <v>145.60043927039277</v>
      </c>
    </row>
    <row r="24" spans="1:34" x14ac:dyDescent="0.3">
      <c r="A24" s="347">
        <f t="shared" ca="1" si="6"/>
        <v>0.01</v>
      </c>
      <c r="B24" s="304">
        <f t="shared" ca="1" si="7"/>
        <v>0.20000000000000004</v>
      </c>
      <c r="D24" s="306">
        <f t="shared" ca="1" si="8"/>
        <v>23.748025818037839</v>
      </c>
      <c r="E24" s="307">
        <f t="shared" ca="1" si="9"/>
        <v>134.68961503916333</v>
      </c>
      <c r="F24" s="304">
        <f t="shared" ca="1" si="10"/>
        <v>136.76717855411147</v>
      </c>
      <c r="G24" s="306">
        <f t="shared" ca="1" si="11"/>
        <v>4.2526643054569213</v>
      </c>
      <c r="H24" s="307">
        <f t="shared" ca="1" si="12"/>
        <v>24.119467999981747</v>
      </c>
      <c r="I24" s="304">
        <f t="shared" ca="1" si="13"/>
        <v>24.491506493007957</v>
      </c>
      <c r="J24" s="306">
        <f t="shared" ca="1" si="14"/>
        <v>0.39477029331368158</v>
      </c>
      <c r="K24" s="307">
        <f t="shared" ca="1" si="15"/>
        <v>2.2389849910370576</v>
      </c>
      <c r="L24" s="304">
        <f t="shared" ca="1" si="0"/>
        <v>2.2735209201967295</v>
      </c>
      <c r="M24" s="306">
        <f t="shared" ca="1" si="16"/>
        <v>1.3962634015954636</v>
      </c>
      <c r="N24" s="304">
        <f t="shared" ca="1" si="17"/>
        <v>80</v>
      </c>
      <c r="P24" s="310">
        <f t="shared" ca="1" si="18"/>
        <v>7</v>
      </c>
      <c r="Q24" s="304">
        <f t="shared" ca="1" si="19"/>
        <v>66.8</v>
      </c>
      <c r="R24" s="306">
        <f t="shared" ca="1" si="20"/>
        <v>3.6209127469837385E-2</v>
      </c>
      <c r="S24" s="307">
        <f t="shared" ca="1" si="21"/>
        <v>0.45146555341842981</v>
      </c>
      <c r="T24" s="304">
        <f t="shared" ca="1" si="1"/>
        <v>4.4288770790347964</v>
      </c>
      <c r="U24" s="311">
        <f t="shared" ca="1" si="2"/>
        <v>0.76906643388523011</v>
      </c>
      <c r="V24" s="306">
        <f t="shared" ca="1" si="3"/>
        <v>1.2247257550401156</v>
      </c>
      <c r="W24" s="304">
        <f t="shared" ca="1" si="4"/>
        <v>0.77708735481019842</v>
      </c>
      <c r="Y24" s="314" t="str">
        <f t="shared" ca="1" si="22"/>
        <v>Sortie de rampe</v>
      </c>
      <c r="Z24" s="315" t="str">
        <f t="shared" ca="1" si="23"/>
        <v/>
      </c>
      <c r="AA24" s="316" t="str">
        <f t="shared" ca="1" si="24"/>
        <v/>
      </c>
      <c r="AC24" s="310" t="e">
        <f t="shared" ca="1" si="25"/>
        <v>#N/A</v>
      </c>
      <c r="AD24" s="323" t="e">
        <f t="shared" ca="1" si="26"/>
        <v>#N/A</v>
      </c>
      <c r="AE24" s="324">
        <f t="shared" ca="1" si="5"/>
        <v>2.2389849910370576</v>
      </c>
      <c r="AG24" s="306">
        <f t="shared" ca="1" si="27"/>
        <v>136.76717854728724</v>
      </c>
      <c r="AH24" s="304">
        <f t="shared" ca="1" si="28"/>
        <v>146.42814260433701</v>
      </c>
    </row>
    <row r="25" spans="1:34" x14ac:dyDescent="0.3">
      <c r="A25" s="347">
        <f t="shared" ca="1" si="6"/>
        <v>0.01</v>
      </c>
      <c r="B25" s="304">
        <f t="shared" ca="1" si="7"/>
        <v>0.21000000000000005</v>
      </c>
      <c r="D25" s="306">
        <f t="shared" ca="1" si="8"/>
        <v>23.851533009674846</v>
      </c>
      <c r="E25" s="307">
        <f t="shared" ca="1" si="9"/>
        <v>135.27667520079504</v>
      </c>
      <c r="F25" s="304">
        <f t="shared" ca="1" si="10"/>
        <v>137.36329378801676</v>
      </c>
      <c r="G25" s="306">
        <f t="shared" ca="1" si="11"/>
        <v>4.4911796355536699</v>
      </c>
      <c r="H25" s="307">
        <f t="shared" ca="1" si="12"/>
        <v>25.472234751989699</v>
      </c>
      <c r="I25" s="304">
        <f t="shared" ca="1" si="13"/>
        <v>25.865139430888124</v>
      </c>
      <c r="J25" s="306">
        <f t="shared" ca="1" si="14"/>
        <v>0.43848951301873451</v>
      </c>
      <c r="K25" s="307">
        <f t="shared" ca="1" si="15"/>
        <v>2.4869435047969151</v>
      </c>
      <c r="L25" s="304">
        <f t="shared" ca="1" si="0"/>
        <v>2.5253041498162099</v>
      </c>
      <c r="M25" s="306">
        <f t="shared" ca="1" si="16"/>
        <v>1.3962634015954636</v>
      </c>
      <c r="N25" s="304">
        <f t="shared" ca="1" si="17"/>
        <v>80</v>
      </c>
      <c r="P25" s="310">
        <f t="shared" ca="1" si="18"/>
        <v>8</v>
      </c>
      <c r="Q25" s="304">
        <f t="shared" ca="1" si="19"/>
        <v>67.099999999999994</v>
      </c>
      <c r="R25" s="306">
        <f t="shared" ca="1" si="20"/>
        <v>3.637174331176779E-2</v>
      </c>
      <c r="S25" s="307">
        <f t="shared" ca="1" si="21"/>
        <v>0.45110183598531212</v>
      </c>
      <c r="T25" s="304">
        <f t="shared" ca="1" si="1"/>
        <v>4.4253090110159121</v>
      </c>
      <c r="U25" s="311">
        <f t="shared" ca="1" si="2"/>
        <v>0</v>
      </c>
      <c r="V25" s="306">
        <f t="shared" ca="1" si="3"/>
        <v>1.2246953872983912</v>
      </c>
      <c r="W25" s="304">
        <f t="shared" ca="1" si="4"/>
        <v>0.86667789834279596</v>
      </c>
      <c r="Y25" s="314" t="str">
        <f t="shared" ca="1" si="22"/>
        <v/>
      </c>
      <c r="Z25" s="315" t="str">
        <f t="shared" ca="1" si="23"/>
        <v/>
      </c>
      <c r="AA25" s="316" t="str">
        <f t="shared" ca="1" si="24"/>
        <v/>
      </c>
      <c r="AC25" s="310" t="e">
        <f t="shared" ca="1" si="25"/>
        <v>#N/A</v>
      </c>
      <c r="AD25" s="323" t="e">
        <f t="shared" ca="1" si="26"/>
        <v>#N/A</v>
      </c>
      <c r="AE25" s="324">
        <f t="shared" ca="1" si="5"/>
        <v>2.4869435047969151</v>
      </c>
      <c r="AG25" s="306">
        <f t="shared" ca="1" si="27"/>
        <v>137.36329378114993</v>
      </c>
      <c r="AH25" s="304">
        <f t="shared" ca="1" si="28"/>
        <v>147.0242578381997</v>
      </c>
    </row>
    <row r="26" spans="1:34" x14ac:dyDescent="0.3">
      <c r="A26" s="347">
        <f t="shared" ca="1" si="6"/>
        <v>0.01</v>
      </c>
      <c r="B26" s="304">
        <f t="shared" ca="1" si="7"/>
        <v>0.22000000000000006</v>
      </c>
      <c r="D26" s="306">
        <f t="shared" ca="1" si="8"/>
        <v>25.593693079773235</v>
      </c>
      <c r="E26" s="307">
        <f t="shared" ca="1" si="9"/>
        <v>135.33904626019347</v>
      </c>
      <c r="F26" s="304">
        <f t="shared" ca="1" si="10"/>
        <v>137.73777465924306</v>
      </c>
      <c r="G26" s="306">
        <f t="shared" ca="1" si="11"/>
        <v>4.7471165663514023</v>
      </c>
      <c r="H26" s="307">
        <f t="shared" ca="1" si="12"/>
        <v>26.825625214591632</v>
      </c>
      <c r="I26" s="304">
        <f t="shared" ca="1" si="13"/>
        <v>27.242416997180378</v>
      </c>
      <c r="J26" s="306">
        <f t="shared" ca="1" si="14"/>
        <v>0.48468099402825987</v>
      </c>
      <c r="K26" s="307">
        <f t="shared" ca="1" si="15"/>
        <v>2.7484328046298216</v>
      </c>
      <c r="L26" s="304">
        <f t="shared" ca="1" si="0"/>
        <v>2.7908419065825942</v>
      </c>
      <c r="M26" s="306">
        <f t="shared" ca="1" si="16"/>
        <v>1.3956475874124663</v>
      </c>
      <c r="N26" s="304">
        <f t="shared" ca="1" si="17"/>
        <v>79.964716446349954</v>
      </c>
      <c r="P26" s="310">
        <f t="shared" ca="1" si="18"/>
        <v>8</v>
      </c>
      <c r="Q26" s="304">
        <f t="shared" ca="1" si="19"/>
        <v>67.3</v>
      </c>
      <c r="R26" s="306">
        <f t="shared" ca="1" si="20"/>
        <v>3.6480153873054727E-2</v>
      </c>
      <c r="S26" s="307">
        <f t="shared" ca="1" si="21"/>
        <v>0.45073703444658159</v>
      </c>
      <c r="T26" s="304">
        <f t="shared" ca="1" si="1"/>
        <v>4.4217303079209653</v>
      </c>
      <c r="U26" s="311">
        <f t="shared" ca="1" si="2"/>
        <v>0</v>
      </c>
      <c r="V26" s="306">
        <f t="shared" ca="1" si="3"/>
        <v>1.2246633632426083</v>
      </c>
      <c r="W26" s="304">
        <f t="shared" ca="1" si="4"/>
        <v>0.96140857214929465</v>
      </c>
      <c r="Y26" s="314" t="str">
        <f t="shared" ca="1" si="22"/>
        <v/>
      </c>
      <c r="Z26" s="315" t="str">
        <f t="shared" ca="1" si="23"/>
        <v/>
      </c>
      <c r="AA26" s="316" t="str">
        <f t="shared" ca="1" si="24"/>
        <v/>
      </c>
      <c r="AC26" s="310" t="e">
        <f t="shared" ca="1" si="25"/>
        <v>#N/A</v>
      </c>
      <c r="AD26" s="323" t="e">
        <f t="shared" ca="1" si="26"/>
        <v>#N/A</v>
      </c>
      <c r="AE26" s="324">
        <f t="shared" ca="1" si="5"/>
        <v>2.7484328046298216</v>
      </c>
      <c r="AG26" s="306">
        <f t="shared" ca="1" si="27"/>
        <v>137.72724020538575</v>
      </c>
      <c r="AH26" s="304">
        <f t="shared" ca="1" si="28"/>
        <v>147.38820426243552</v>
      </c>
    </row>
    <row r="27" spans="1:34" x14ac:dyDescent="0.3">
      <c r="A27" s="347">
        <f t="shared" ca="1" si="6"/>
        <v>0.01</v>
      </c>
      <c r="B27" s="304">
        <f t="shared" ca="1" si="7"/>
        <v>0.23000000000000007</v>
      </c>
      <c r="D27" s="306">
        <f t="shared" ca="1" si="8"/>
        <v>25.744668332324913</v>
      </c>
      <c r="E27" s="307">
        <f t="shared" ca="1" si="9"/>
        <v>135.67132836091639</v>
      </c>
      <c r="F27" s="304">
        <f t="shared" ca="1" si="10"/>
        <v>138.09235057293003</v>
      </c>
      <c r="G27" s="306">
        <f t="shared" ca="1" si="11"/>
        <v>5.0045632496746517</v>
      </c>
      <c r="H27" s="307">
        <f t="shared" ca="1" si="12"/>
        <v>28.182338498200796</v>
      </c>
      <c r="I27" s="304">
        <f t="shared" ca="1" si="13"/>
        <v>28.623239798233268</v>
      </c>
      <c r="J27" s="306">
        <f t="shared" ca="1" si="14"/>
        <v>0.53343939310839017</v>
      </c>
      <c r="K27" s="307">
        <f t="shared" ca="1" si="15"/>
        <v>3.0234726231937836</v>
      </c>
      <c r="L27" s="304">
        <f t="shared" ca="1" si="0"/>
        <v>3.0701700749831673</v>
      </c>
      <c r="M27" s="306">
        <f t="shared" ca="1" si="16"/>
        <v>1.3950503671914543</v>
      </c>
      <c r="N27" s="304">
        <f t="shared" ca="1" si="17"/>
        <v>79.930498248246096</v>
      </c>
      <c r="P27" s="310">
        <f t="shared" ca="1" si="18"/>
        <v>8</v>
      </c>
      <c r="Q27" s="304">
        <f t="shared" ca="1" si="19"/>
        <v>67.5</v>
      </c>
      <c r="R27" s="306">
        <f t="shared" ca="1" si="20"/>
        <v>3.6588564434341671E-2</v>
      </c>
      <c r="S27" s="307">
        <f t="shared" ca="1" si="21"/>
        <v>0.45037114880223816</v>
      </c>
      <c r="T27" s="304">
        <f t="shared" ca="1" si="1"/>
        <v>4.418140969749957</v>
      </c>
      <c r="U27" s="311">
        <f t="shared" ca="1" si="2"/>
        <v>0</v>
      </c>
      <c r="V27" s="306">
        <f t="shared" ca="1" si="3"/>
        <v>1.2246296805861894</v>
      </c>
      <c r="W27" s="304">
        <f t="shared" ca="1" si="4"/>
        <v>1.0613102302656359</v>
      </c>
      <c r="Y27" s="314" t="str">
        <f t="shared" ca="1" si="22"/>
        <v/>
      </c>
      <c r="Z27" s="315" t="str">
        <f t="shared" ca="1" si="23"/>
        <v/>
      </c>
      <c r="AA27" s="316" t="str">
        <f t="shared" ca="1" si="24"/>
        <v/>
      </c>
      <c r="AC27" s="310" t="e">
        <f t="shared" ca="1" si="25"/>
        <v>#N/A</v>
      </c>
      <c r="AD27" s="323" t="e">
        <f t="shared" ca="1" si="26"/>
        <v>#N/A</v>
      </c>
      <c r="AE27" s="324">
        <f t="shared" ca="1" si="5"/>
        <v>3.0234726231937836</v>
      </c>
      <c r="AG27" s="306">
        <f t="shared" ca="1" si="27"/>
        <v>138.08176964990588</v>
      </c>
      <c r="AH27" s="304">
        <f t="shared" ca="1" si="28"/>
        <v>147.74168284271772</v>
      </c>
    </row>
    <row r="28" spans="1:34" x14ac:dyDescent="0.3">
      <c r="A28" s="347">
        <f t="shared" ca="1" si="6"/>
        <v>0.01</v>
      </c>
      <c r="B28" s="304">
        <f t="shared" ca="1" si="7"/>
        <v>0.24000000000000007</v>
      </c>
      <c r="D28" s="306">
        <f t="shared" ca="1" si="8"/>
        <v>25.891505029436871</v>
      </c>
      <c r="E28" s="307">
        <f t="shared" ca="1" si="9"/>
        <v>135.99356418013005</v>
      </c>
      <c r="F28" s="304">
        <f t="shared" ca="1" si="10"/>
        <v>138.43633746637661</v>
      </c>
      <c r="G28" s="306">
        <f t="shared" ca="1" si="11"/>
        <v>5.2634782999690204</v>
      </c>
      <c r="H28" s="307">
        <f t="shared" ca="1" si="12"/>
        <v>29.542274140002096</v>
      </c>
      <c r="I28" s="304">
        <f t="shared" ca="1" si="13"/>
        <v>30.007501815000886</v>
      </c>
      <c r="J28" s="306">
        <f t="shared" ca="1" si="14"/>
        <v>0.58477960085660852</v>
      </c>
      <c r="K28" s="307">
        <f t="shared" ca="1" si="15"/>
        <v>3.3120956863847981</v>
      </c>
      <c r="L28" s="304">
        <f t="shared" ca="1" si="0"/>
        <v>3.3633235076850401</v>
      </c>
      <c r="M28" s="306">
        <f t="shared" ca="1" si="16"/>
        <v>1.3944787746102101</v>
      </c>
      <c r="N28" s="304">
        <f t="shared" ca="1" si="17"/>
        <v>79.897748405739819</v>
      </c>
      <c r="P28" s="310">
        <f t="shared" ca="1" si="18"/>
        <v>8</v>
      </c>
      <c r="Q28" s="304">
        <f t="shared" ca="1" si="19"/>
        <v>67.7</v>
      </c>
      <c r="R28" s="306">
        <f t="shared" ca="1" si="20"/>
        <v>3.6696974995628608E-2</v>
      </c>
      <c r="S28" s="307">
        <f t="shared" ca="1" si="21"/>
        <v>0.45000417905228191</v>
      </c>
      <c r="T28" s="304">
        <f t="shared" ca="1" si="1"/>
        <v>4.4145409965028861</v>
      </c>
      <c r="U28" s="311">
        <f t="shared" ca="1" si="2"/>
        <v>0</v>
      </c>
      <c r="V28" s="306">
        <f t="shared" ca="1" si="3"/>
        <v>1.2245943354584068</v>
      </c>
      <c r="W28" s="304">
        <f t="shared" ca="1" si="4"/>
        <v>1.166411841234728</v>
      </c>
      <c r="Y28" s="314" t="str">
        <f t="shared" ca="1" si="22"/>
        <v/>
      </c>
      <c r="Z28" s="315" t="str">
        <f t="shared" ca="1" si="23"/>
        <v/>
      </c>
      <c r="AA28" s="316" t="str">
        <f t="shared" ca="1" si="24"/>
        <v/>
      </c>
      <c r="AC28" s="310" t="e">
        <f t="shared" ca="1" si="25"/>
        <v>#N/A</v>
      </c>
      <c r="AD28" s="323" t="e">
        <f t="shared" ca="1" si="26"/>
        <v>#N/A</v>
      </c>
      <c r="AE28" s="324">
        <f t="shared" ca="1" si="5"/>
        <v>3.3120956863847981</v>
      </c>
      <c r="AG28" s="306">
        <f t="shared" ca="1" si="27"/>
        <v>138.42571147710774</v>
      </c>
      <c r="AH28" s="304">
        <f t="shared" ca="1" si="28"/>
        <v>148.08460203653402</v>
      </c>
    </row>
    <row r="29" spans="1:34" x14ac:dyDescent="0.3">
      <c r="A29" s="347">
        <f t="shared" ca="1" si="6"/>
        <v>0.01</v>
      </c>
      <c r="B29" s="304">
        <f t="shared" ca="1" si="7"/>
        <v>0.25000000000000006</v>
      </c>
      <c r="D29" s="306">
        <f t="shared" ca="1" si="8"/>
        <v>26.033123340081403</v>
      </c>
      <c r="E29" s="307">
        <f t="shared" ca="1" si="9"/>
        <v>136.30586152786054</v>
      </c>
      <c r="F29" s="304">
        <f t="shared" ca="1" si="10"/>
        <v>138.76963427815247</v>
      </c>
      <c r="G29" s="306">
        <f t="shared" ca="1" si="11"/>
        <v>5.5238095333698345</v>
      </c>
      <c r="H29" s="307">
        <f t="shared" ca="1" si="12"/>
        <v>30.905332755280703</v>
      </c>
      <c r="I29" s="304">
        <f t="shared" ca="1" si="13"/>
        <v>31.395096185162004</v>
      </c>
      <c r="J29" s="306">
        <f t="shared" ca="1" si="14"/>
        <v>0.63871604002330273</v>
      </c>
      <c r="K29" s="307">
        <f t="shared" ca="1" si="15"/>
        <v>3.6143337208612123</v>
      </c>
      <c r="L29" s="304">
        <f t="shared" ca="1" si="0"/>
        <v>3.6703360098957569</v>
      </c>
      <c r="M29" s="306">
        <f t="shared" ca="1" si="16"/>
        <v>1.3939306867196015</v>
      </c>
      <c r="N29" s="304">
        <f t="shared" ca="1" si="17"/>
        <v>79.866345282805725</v>
      </c>
      <c r="P29" s="310">
        <f t="shared" ca="1" si="18"/>
        <v>8</v>
      </c>
      <c r="Q29" s="304">
        <f t="shared" ca="1" si="19"/>
        <v>67.900000000000006</v>
      </c>
      <c r="R29" s="306">
        <f t="shared" ca="1" si="20"/>
        <v>3.6805385556915551E-2</v>
      </c>
      <c r="S29" s="307">
        <f t="shared" ca="1" si="21"/>
        <v>0.44963612519671275</v>
      </c>
      <c r="T29" s="304">
        <f t="shared" ca="1" si="1"/>
        <v>4.4109303881797519</v>
      </c>
      <c r="U29" s="311">
        <f t="shared" ca="1" si="2"/>
        <v>0</v>
      </c>
      <c r="V29" s="306">
        <f t="shared" ca="1" si="3"/>
        <v>1.2245573241181131</v>
      </c>
      <c r="W29" s="304">
        <f t="shared" ca="1" si="4"/>
        <v>1.2767408311272737</v>
      </c>
      <c r="Y29" s="314" t="str">
        <f t="shared" ca="1" si="22"/>
        <v/>
      </c>
      <c r="Z29" s="315" t="str">
        <f t="shared" ca="1" si="23"/>
        <v/>
      </c>
      <c r="AA29" s="316" t="str">
        <f t="shared" ca="1" si="24"/>
        <v/>
      </c>
      <c r="AC29" s="310" t="e">
        <f t="shared" ca="1" si="25"/>
        <v>#N/A</v>
      </c>
      <c r="AD29" s="323" t="e">
        <f t="shared" ca="1" si="26"/>
        <v>#N/A</v>
      </c>
      <c r="AE29" s="324">
        <f t="shared" ca="1" si="5"/>
        <v>3.6143337208612123</v>
      </c>
      <c r="AG29" s="306">
        <f t="shared" ca="1" si="27"/>
        <v>138.75896546125173</v>
      </c>
      <c r="AH29" s="304">
        <f t="shared" ca="1" si="28"/>
        <v>148.41687404358308</v>
      </c>
    </row>
    <row r="30" spans="1:34" x14ac:dyDescent="0.3">
      <c r="A30" s="347">
        <f t="shared" ca="1" si="6"/>
        <v>0.01</v>
      </c>
      <c r="B30" s="304">
        <f t="shared" ca="1" si="7"/>
        <v>0.26000000000000006</v>
      </c>
      <c r="D30" s="306">
        <f t="shared" ca="1" si="8"/>
        <v>26.169777110795611</v>
      </c>
      <c r="E30" s="307">
        <f t="shared" ca="1" si="9"/>
        <v>136.60809513067366</v>
      </c>
      <c r="F30" s="304">
        <f t="shared" ca="1" si="10"/>
        <v>139.09215969730252</v>
      </c>
      <c r="G30" s="306">
        <f t="shared" ca="1" si="11"/>
        <v>5.7855073044777905</v>
      </c>
      <c r="H30" s="307">
        <f t="shared" ca="1" si="12"/>
        <v>32.271413706587438</v>
      </c>
      <c r="I30" s="304">
        <f t="shared" ca="1" si="13"/>
        <v>32.785915228827839</v>
      </c>
      <c r="J30" s="306">
        <f t="shared" ca="1" si="14"/>
        <v>0.69526262421254081</v>
      </c>
      <c r="K30" s="307">
        <f t="shared" ca="1" si="15"/>
        <v>3.9302174531705529</v>
      </c>
      <c r="L30" s="304">
        <f t="shared" ca="1" si="0"/>
        <v>3.9912403267447245</v>
      </c>
      <c r="M30" s="306">
        <f t="shared" ca="1" si="16"/>
        <v>1.3934042349460545</v>
      </c>
      <c r="N30" s="304">
        <f t="shared" ca="1" si="17"/>
        <v>79.83618181806429</v>
      </c>
      <c r="P30" s="310">
        <f t="shared" ca="1" si="18"/>
        <v>8</v>
      </c>
      <c r="Q30" s="304">
        <f t="shared" ca="1" si="19"/>
        <v>68.099999999999994</v>
      </c>
      <c r="R30" s="306">
        <f t="shared" ca="1" si="20"/>
        <v>3.6913796118202481E-2</v>
      </c>
      <c r="S30" s="307">
        <f t="shared" ca="1" si="21"/>
        <v>0.44926698723553071</v>
      </c>
      <c r="T30" s="304">
        <f t="shared" ca="1" si="1"/>
        <v>4.4073091447805561</v>
      </c>
      <c r="U30" s="311">
        <f t="shared" ca="1" si="2"/>
        <v>0</v>
      </c>
      <c r="V30" s="306">
        <f t="shared" ca="1" si="3"/>
        <v>1.2245186429538799</v>
      </c>
      <c r="W30" s="304">
        <f t="shared" ca="1" si="4"/>
        <v>1.3923230609607309</v>
      </c>
      <c r="Y30" s="314" t="str">
        <f t="shared" ca="1" si="22"/>
        <v/>
      </c>
      <c r="Z30" s="315" t="str">
        <f t="shared" ca="1" si="23"/>
        <v/>
      </c>
      <c r="AA30" s="316" t="str">
        <f t="shared" ca="1" si="24"/>
        <v/>
      </c>
      <c r="AC30" s="310" t="e">
        <f t="shared" ca="1" si="25"/>
        <v>#N/A</v>
      </c>
      <c r="AD30" s="323" t="e">
        <f t="shared" ca="1" si="26"/>
        <v>#N/A</v>
      </c>
      <c r="AE30" s="324">
        <f t="shared" ca="1" si="5"/>
        <v>3.9302174531705529</v>
      </c>
      <c r="AG30" s="306">
        <f t="shared" ca="1" si="27"/>
        <v>139.08145003336466</v>
      </c>
      <c r="AH30" s="304">
        <f t="shared" ca="1" si="28"/>
        <v>148.73841405542726</v>
      </c>
    </row>
    <row r="31" spans="1:34" x14ac:dyDescent="0.3">
      <c r="A31" s="347">
        <f t="shared" ca="1" si="6"/>
        <v>0.01</v>
      </c>
      <c r="B31" s="304">
        <f t="shared" ca="1" si="7"/>
        <v>0.27000000000000007</v>
      </c>
      <c r="D31" s="306">
        <f t="shared" ca="1" si="8"/>
        <v>26.301687294860301</v>
      </c>
      <c r="E31" s="307">
        <f t="shared" ca="1" si="9"/>
        <v>136.90014782347515</v>
      </c>
      <c r="F31" s="304">
        <f t="shared" ca="1" si="10"/>
        <v>139.4038350571675</v>
      </c>
      <c r="G31" s="306">
        <f t="shared" ca="1" si="11"/>
        <v>6.0485241774263931</v>
      </c>
      <c r="H31" s="307">
        <f t="shared" ca="1" si="12"/>
        <v>33.640415184822189</v>
      </c>
      <c r="I31" s="304">
        <f t="shared" ca="1" si="13"/>
        <v>34.179850475567136</v>
      </c>
      <c r="J31" s="306">
        <f t="shared" ca="1" si="14"/>
        <v>0.75443278162206173</v>
      </c>
      <c r="K31" s="307">
        <f t="shared" ca="1" si="15"/>
        <v>4.2597765976276012</v>
      </c>
      <c r="L31" s="304">
        <f t="shared" ca="1" si="0"/>
        <v>4.3260681321127832</v>
      </c>
      <c r="M31" s="306">
        <f t="shared" ca="1" si="16"/>
        <v>1.3928977657899377</v>
      </c>
      <c r="N31" s="304">
        <f t="shared" ca="1" si="17"/>
        <v>79.807163272965255</v>
      </c>
      <c r="P31" s="310">
        <f t="shared" ca="1" si="18"/>
        <v>8</v>
      </c>
      <c r="Q31" s="304">
        <f t="shared" ca="1" si="19"/>
        <v>68.3</v>
      </c>
      <c r="R31" s="306">
        <f t="shared" ca="1" si="20"/>
        <v>3.7022206679489418E-2</v>
      </c>
      <c r="S31" s="307">
        <f t="shared" ca="1" si="21"/>
        <v>0.44889676516873583</v>
      </c>
      <c r="T31" s="304">
        <f t="shared" ca="1" si="1"/>
        <v>4.4036772663052988</v>
      </c>
      <c r="U31" s="311">
        <f t="shared" ca="1" si="2"/>
        <v>0</v>
      </c>
      <c r="V31" s="306">
        <f t="shared" ca="1" si="3"/>
        <v>1.2244782884855157</v>
      </c>
      <c r="W31" s="304">
        <f t="shared" ca="1" si="4"/>
        <v>1.5131828050242482</v>
      </c>
      <c r="Y31" s="314" t="str">
        <f t="shared" ca="1" si="22"/>
        <v/>
      </c>
      <c r="Z31" s="315" t="str">
        <f t="shared" ca="1" si="23"/>
        <v/>
      </c>
      <c r="AA31" s="316" t="str">
        <f t="shared" ca="1" si="24"/>
        <v/>
      </c>
      <c r="AC31" s="310" t="e">
        <f t="shared" ca="1" si="25"/>
        <v>#N/A</v>
      </c>
      <c r="AD31" s="323" t="e">
        <f t="shared" ca="1" si="26"/>
        <v>#N/A</v>
      </c>
      <c r="AE31" s="324">
        <f t="shared" ca="1" si="5"/>
        <v>4.2597765976276012</v>
      </c>
      <c r="AG31" s="306">
        <f t="shared" ca="1" si="27"/>
        <v>139.39308629854705</v>
      </c>
      <c r="AH31" s="304">
        <f t="shared" ca="1" si="28"/>
        <v>149.04914031601305</v>
      </c>
    </row>
    <row r="32" spans="1:34" x14ac:dyDescent="0.3">
      <c r="A32" s="347">
        <f t="shared" ca="1" si="6"/>
        <v>0.01</v>
      </c>
      <c r="B32" s="304">
        <f t="shared" ca="1" si="7"/>
        <v>0.28000000000000008</v>
      </c>
      <c r="D32" s="306">
        <f t="shared" ca="1" si="8"/>
        <v>26.429047191145859</v>
      </c>
      <c r="E32" s="307">
        <f t="shared" ca="1" si="9"/>
        <v>137.18190982281976</v>
      </c>
      <c r="F32" s="304">
        <f t="shared" ca="1" si="10"/>
        <v>139.70458445615901</v>
      </c>
      <c r="G32" s="306">
        <f t="shared" ca="1" si="11"/>
        <v>6.3128146493378514</v>
      </c>
      <c r="H32" s="307">
        <f t="shared" ca="1" si="12"/>
        <v>35.01223428305039</v>
      </c>
      <c r="I32" s="304">
        <f t="shared" ca="1" si="13"/>
        <v>35.576792692541915</v>
      </c>
      <c r="J32" s="306">
        <f t="shared" ca="1" si="14"/>
        <v>0.81623947575588296</v>
      </c>
      <c r="K32" s="307">
        <f t="shared" ca="1" si="15"/>
        <v>4.6030398449669638</v>
      </c>
      <c r="L32" s="304">
        <f t="shared" ca="1" si="0"/>
        <v>4.674850018571262</v>
      </c>
      <c r="M32" s="306">
        <f t="shared" ca="1" si="16"/>
        <v>1.3924098088558101</v>
      </c>
      <c r="N32" s="304">
        <f t="shared" ca="1" si="17"/>
        <v>79.779205400055602</v>
      </c>
      <c r="P32" s="310">
        <f t="shared" ca="1" si="18"/>
        <v>8</v>
      </c>
      <c r="Q32" s="304">
        <f t="shared" ca="1" si="19"/>
        <v>68.5</v>
      </c>
      <c r="R32" s="306">
        <f t="shared" ca="1" si="20"/>
        <v>3.7130617240776362E-2</v>
      </c>
      <c r="S32" s="307">
        <f t="shared" ca="1" si="21"/>
        <v>0.44852545899632806</v>
      </c>
      <c r="T32" s="304">
        <f t="shared" ca="1" si="1"/>
        <v>4.4000347527539789</v>
      </c>
      <c r="U32" s="311">
        <f t="shared" ca="1" si="2"/>
        <v>0</v>
      </c>
      <c r="V32" s="306">
        <f t="shared" ca="1" si="3"/>
        <v>1.2244362573654823</v>
      </c>
      <c r="W32" s="304">
        <f t="shared" ca="1" si="4"/>
        <v>1.6393427301360519</v>
      </c>
      <c r="Y32" s="314" t="str">
        <f t="shared" ca="1" si="22"/>
        <v/>
      </c>
      <c r="Z32" s="315" t="str">
        <f t="shared" ca="1" si="23"/>
        <v/>
      </c>
      <c r="AA32" s="316" t="str">
        <f t="shared" ca="1" si="24"/>
        <v/>
      </c>
      <c r="AC32" s="310" t="e">
        <f t="shared" ca="1" si="25"/>
        <v>#N/A</v>
      </c>
      <c r="AD32" s="323" t="e">
        <f t="shared" ca="1" si="26"/>
        <v>#N/A</v>
      </c>
      <c r="AE32" s="324">
        <f t="shared" ca="1" si="5"/>
        <v>4.6030398449669638</v>
      </c>
      <c r="AG32" s="306">
        <f t="shared" ca="1" si="27"/>
        <v>139.69379815226523</v>
      </c>
      <c r="AH32" s="304">
        <f t="shared" ca="1" si="28"/>
        <v>149.3489741805808</v>
      </c>
    </row>
    <row r="33" spans="1:34" x14ac:dyDescent="0.3">
      <c r="A33" s="347">
        <f t="shared" ca="1" si="6"/>
        <v>0.01</v>
      </c>
      <c r="B33" s="304">
        <f t="shared" ca="1" si="7"/>
        <v>0.29000000000000009</v>
      </c>
      <c r="D33" s="306">
        <f t="shared" ca="1" si="8"/>
        <v>26.552026701855414</v>
      </c>
      <c r="E33" s="307">
        <f t="shared" ca="1" si="9"/>
        <v>137.45327814371709</v>
      </c>
      <c r="F33" s="304">
        <f t="shared" ca="1" si="10"/>
        <v>139.99433486548696</v>
      </c>
      <c r="G33" s="306">
        <f t="shared" ca="1" si="11"/>
        <v>6.5783349163564058</v>
      </c>
      <c r="H33" s="307">
        <f t="shared" ca="1" si="12"/>
        <v>36.386767064487557</v>
      </c>
      <c r="I33" s="304">
        <f t="shared" ca="1" si="13"/>
        <v>36.976631913642841</v>
      </c>
      <c r="J33" s="306">
        <f t="shared" ca="1" si="14"/>
        <v>0.88069522358435426</v>
      </c>
      <c r="K33" s="307">
        <f t="shared" ca="1" si="15"/>
        <v>4.9600348517046537</v>
      </c>
      <c r="L33" s="304">
        <f t="shared" ca="1" si="0"/>
        <v>5.0376154882016451</v>
      </c>
      <c r="M33" s="306">
        <f t="shared" ca="1" si="16"/>
        <v>1.3919390506289553</v>
      </c>
      <c r="N33" s="304">
        <f t="shared" ca="1" si="17"/>
        <v>79.752232940485754</v>
      </c>
      <c r="P33" s="310">
        <f t="shared" ca="1" si="18"/>
        <v>8</v>
      </c>
      <c r="Q33" s="304">
        <f t="shared" ca="1" si="19"/>
        <v>68.7</v>
      </c>
      <c r="R33" s="306">
        <f t="shared" ca="1" si="20"/>
        <v>3.7239027802063299E-2</v>
      </c>
      <c r="S33" s="307">
        <f t="shared" ca="1" si="21"/>
        <v>0.44815306871830746</v>
      </c>
      <c r="T33" s="304">
        <f t="shared" ca="1" si="1"/>
        <v>4.3963816041265966</v>
      </c>
      <c r="U33" s="311">
        <f t="shared" ca="1" si="2"/>
        <v>0</v>
      </c>
      <c r="V33" s="306">
        <f t="shared" ca="1" si="3"/>
        <v>1.2243925463802223</v>
      </c>
      <c r="W33" s="304">
        <f t="shared" ca="1" si="4"/>
        <v>1.7708238758638575</v>
      </c>
      <c r="Y33" s="314" t="str">
        <f t="shared" ca="1" si="22"/>
        <v/>
      </c>
      <c r="Z33" s="315" t="str">
        <f t="shared" ca="1" si="23"/>
        <v/>
      </c>
      <c r="AA33" s="316" t="str">
        <f t="shared" ca="1" si="24"/>
        <v/>
      </c>
      <c r="AC33" s="310" t="e">
        <f t="shared" ca="1" si="25"/>
        <v>#N/A</v>
      </c>
      <c r="AD33" s="323" t="e">
        <f t="shared" ca="1" si="26"/>
        <v>#N/A</v>
      </c>
      <c r="AE33" s="324">
        <f t="shared" ca="1" si="5"/>
        <v>4.9600348517046537</v>
      </c>
      <c r="AG33" s="306">
        <f t="shared" ca="1" si="27"/>
        <v>139.98351238441469</v>
      </c>
      <c r="AH33" s="304">
        <f t="shared" ca="1" si="28"/>
        <v>149.63784017289819</v>
      </c>
    </row>
    <row r="34" spans="1:34" x14ac:dyDescent="0.3">
      <c r="A34" s="347">
        <f t="shared" ca="1" si="6"/>
        <v>0.01</v>
      </c>
      <c r="B34" s="304">
        <f t="shared" ca="1" si="7"/>
        <v>0.3000000000000001</v>
      </c>
      <c r="D34" s="306">
        <f t="shared" ca="1" si="8"/>
        <v>26.670775822088263</v>
      </c>
      <c r="E34" s="307">
        <f t="shared" ca="1" si="9"/>
        <v>137.7141561287078</v>
      </c>
      <c r="F34" s="304">
        <f t="shared" ca="1" si="10"/>
        <v>140.27301622619439</v>
      </c>
      <c r="G34" s="306">
        <f t="shared" ca="1" si="11"/>
        <v>6.8450426745772885</v>
      </c>
      <c r="H34" s="307">
        <f t="shared" ca="1" si="12"/>
        <v>37.763908625774633</v>
      </c>
      <c r="I34" s="304">
        <f t="shared" ca="1" si="13"/>
        <v>38.379257469532156</v>
      </c>
      <c r="J34" s="306">
        <f t="shared" ca="1" si="14"/>
        <v>0.94781211153902278</v>
      </c>
      <c r="K34" s="307">
        <f t="shared" ca="1" si="15"/>
        <v>5.3307882301559646</v>
      </c>
      <c r="L34" s="304">
        <f t="shared" ca="1" si="0"/>
        <v>5.4143929441396681</v>
      </c>
      <c r="M34" s="306">
        <f t="shared" ca="1" si="16"/>
        <v>1.39148431279931</v>
      </c>
      <c r="N34" s="304">
        <f t="shared" ca="1" si="17"/>
        <v>79.726178382062145</v>
      </c>
      <c r="P34" s="310">
        <f t="shared" ca="1" si="18"/>
        <v>8</v>
      </c>
      <c r="Q34" s="304">
        <f t="shared" ca="1" si="19"/>
        <v>68.900000000000006</v>
      </c>
      <c r="R34" s="306">
        <f t="shared" ca="1" si="20"/>
        <v>3.7347438363350242E-2</v>
      </c>
      <c r="S34" s="307">
        <f t="shared" ca="1" si="21"/>
        <v>0.44777959433467396</v>
      </c>
      <c r="T34" s="304">
        <f t="shared" ca="1" si="1"/>
        <v>4.3927178204231518</v>
      </c>
      <c r="U34" s="311">
        <f t="shared" ca="1" si="2"/>
        <v>0</v>
      </c>
      <c r="V34" s="306">
        <f t="shared" ca="1" si="3"/>
        <v>1.2243471524514074</v>
      </c>
      <c r="W34" s="304">
        <f t="shared" ca="1" si="4"/>
        <v>1.9076456357373421</v>
      </c>
      <c r="Y34" s="314" t="str">
        <f t="shared" ca="1" si="22"/>
        <v/>
      </c>
      <c r="Z34" s="315" t="str">
        <f t="shared" ca="1" si="23"/>
        <v/>
      </c>
      <c r="AA34" s="316" t="str">
        <f t="shared" ca="1" si="24"/>
        <v/>
      </c>
      <c r="AC34" s="310" t="e">
        <f t="shared" ca="1" si="25"/>
        <v>#N/A</v>
      </c>
      <c r="AD34" s="323" t="e">
        <f t="shared" ca="1" si="26"/>
        <v>#N/A</v>
      </c>
      <c r="AE34" s="324">
        <f t="shared" ca="1" si="5"/>
        <v>5.3307882301559646</v>
      </c>
      <c r="AG34" s="306">
        <f t="shared" ca="1" si="27"/>
        <v>140.26215877333451</v>
      </c>
      <c r="AH34" s="304">
        <f t="shared" ca="1" si="28"/>
        <v>149.91566604074254</v>
      </c>
    </row>
    <row r="35" spans="1:34" x14ac:dyDescent="0.3">
      <c r="A35" s="347">
        <f t="shared" ca="1" si="6"/>
        <v>0.01</v>
      </c>
      <c r="B35" s="304">
        <f t="shared" ca="1" si="7"/>
        <v>0.31000000000000011</v>
      </c>
      <c r="D35" s="306">
        <f t="shared" ca="1" si="8"/>
        <v>26.705635206492072</v>
      </c>
      <c r="E35" s="307">
        <f t="shared" ca="1" si="9"/>
        <v>137.52424109638832</v>
      </c>
      <c r="F35" s="304">
        <f t="shared" ca="1" si="10"/>
        <v>140.09321125921758</v>
      </c>
      <c r="G35" s="306">
        <f t="shared" ca="1" si="11"/>
        <v>7.1120990266422091</v>
      </c>
      <c r="H35" s="307">
        <f t="shared" ca="1" si="12"/>
        <v>39.139151036738518</v>
      </c>
      <c r="I35" s="304">
        <f t="shared" ca="1" si="13"/>
        <v>39.780084168354833</v>
      </c>
      <c r="J35" s="306">
        <f t="shared" ca="1" si="14"/>
        <v>1.0175978200451203</v>
      </c>
      <c r="K35" s="307">
        <f t="shared" ca="1" si="15"/>
        <v>5.7153035284685307</v>
      </c>
      <c r="L35" s="304">
        <f t="shared" ca="1" si="0"/>
        <v>5.8051873135916487</v>
      </c>
      <c r="M35" s="306">
        <f t="shared" ca="1" si="16"/>
        <v>1.3910444847567871</v>
      </c>
      <c r="N35" s="304">
        <f t="shared" ca="1" si="17"/>
        <v>79.700978091514074</v>
      </c>
      <c r="P35" s="310">
        <f t="shared" ca="1" si="18"/>
        <v>9</v>
      </c>
      <c r="Q35" s="304">
        <f t="shared" ca="1" si="19"/>
        <v>68.899999999999991</v>
      </c>
      <c r="R35" s="306">
        <f t="shared" ca="1" si="20"/>
        <v>3.7347438363350235E-2</v>
      </c>
      <c r="S35" s="307">
        <f t="shared" ca="1" si="21"/>
        <v>0.44740611995104046</v>
      </c>
      <c r="T35" s="304">
        <f t="shared" ca="1" si="1"/>
        <v>4.3890540367197071</v>
      </c>
      <c r="U35" s="311">
        <f t="shared" ca="1" si="2"/>
        <v>0</v>
      </c>
      <c r="V35" s="306">
        <f t="shared" ca="1" si="3"/>
        <v>1.2243000753318589</v>
      </c>
      <c r="W35" s="304">
        <f t="shared" ca="1" si="4"/>
        <v>2.0493647562084951</v>
      </c>
      <c r="Y35" s="314" t="str">
        <f t="shared" ca="1" si="22"/>
        <v/>
      </c>
      <c r="Z35" s="315" t="str">
        <f t="shared" ca="1" si="23"/>
        <v/>
      </c>
      <c r="AA35" s="316" t="str">
        <f t="shared" ca="1" si="24"/>
        <v/>
      </c>
      <c r="AC35" s="310" t="e">
        <f t="shared" ca="1" si="25"/>
        <v>#N/A</v>
      </c>
      <c r="AD35" s="323" t="e">
        <f t="shared" ca="1" si="26"/>
        <v>#N/A</v>
      </c>
      <c r="AE35" s="324">
        <f t="shared" ca="1" si="5"/>
        <v>5.7153035284685307</v>
      </c>
      <c r="AG35" s="306">
        <f t="shared" ca="1" si="27"/>
        <v>140.08228511198129</v>
      </c>
      <c r="AH35" s="304">
        <f t="shared" ca="1" si="28"/>
        <v>149.73499775012826</v>
      </c>
    </row>
    <row r="36" spans="1:34" x14ac:dyDescent="0.3">
      <c r="A36" s="347">
        <f t="shared" ca="1" si="6"/>
        <v>0.01</v>
      </c>
      <c r="B36" s="304">
        <f t="shared" ca="1" si="7"/>
        <v>0.32000000000000012</v>
      </c>
      <c r="D36" s="306">
        <f t="shared" ca="1" si="8"/>
        <v>26.656068604489491</v>
      </c>
      <c r="E36" s="307">
        <f t="shared" ca="1" si="9"/>
        <v>136.88310582551651</v>
      </c>
      <c r="F36" s="304">
        <f t="shared" ca="1" si="10"/>
        <v>139.45440349406971</v>
      </c>
      <c r="G36" s="306">
        <f t="shared" ca="1" si="11"/>
        <v>7.3786597126871039</v>
      </c>
      <c r="H36" s="307">
        <f t="shared" ca="1" si="12"/>
        <v>40.507982094993686</v>
      </c>
      <c r="I36" s="304">
        <f t="shared" ca="1" si="13"/>
        <v>41.174521643413911</v>
      </c>
      <c r="J36" s="306">
        <f t="shared" ca="1" si="14"/>
        <v>1.0900516137417668</v>
      </c>
      <c r="K36" s="307">
        <f t="shared" ca="1" si="15"/>
        <v>6.1135391941271919</v>
      </c>
      <c r="L36" s="304">
        <f t="shared" ca="1" si="0"/>
        <v>6.209957648708273</v>
      </c>
      <c r="M36" s="306">
        <f t="shared" ca="1" si="16"/>
        <v>1.3906185210913755</v>
      </c>
      <c r="N36" s="304">
        <f t="shared" ca="1" si="17"/>
        <v>79.676572171260077</v>
      </c>
      <c r="P36" s="310">
        <f t="shared" ca="1" si="18"/>
        <v>9</v>
      </c>
      <c r="Q36" s="304">
        <f t="shared" ca="1" si="19"/>
        <v>68.7</v>
      </c>
      <c r="R36" s="306">
        <f t="shared" ca="1" si="20"/>
        <v>3.7239027802063299E-2</v>
      </c>
      <c r="S36" s="307">
        <f t="shared" ca="1" si="21"/>
        <v>0.44703372967301985</v>
      </c>
      <c r="T36" s="304">
        <f t="shared" ca="1" si="1"/>
        <v>4.3854008880923248</v>
      </c>
      <c r="U36" s="311">
        <f t="shared" ca="1" si="2"/>
        <v>0</v>
      </c>
      <c r="V36" s="306">
        <f t="shared" ca="1" si="3"/>
        <v>1.2242513203028531</v>
      </c>
      <c r="W36" s="304">
        <f t="shared" ca="1" si="4"/>
        <v>2.1954709618061012</v>
      </c>
      <c r="Y36" s="314" t="str">
        <f t="shared" ca="1" si="22"/>
        <v/>
      </c>
      <c r="Z36" s="315" t="str">
        <f t="shared" ca="1" si="23"/>
        <v/>
      </c>
      <c r="AA36" s="316" t="str">
        <f t="shared" ca="1" si="24"/>
        <v/>
      </c>
      <c r="AC36" s="310" t="e">
        <f t="shared" ca="1" si="25"/>
        <v>#N/A</v>
      </c>
      <c r="AD36" s="323" t="e">
        <f t="shared" ca="1" si="26"/>
        <v>#N/A</v>
      </c>
      <c r="AE36" s="324">
        <f t="shared" ca="1" si="5"/>
        <v>6.1135391941271919</v>
      </c>
      <c r="AG36" s="306">
        <f t="shared" ca="1" si="27"/>
        <v>139.44337396026827</v>
      </c>
      <c r="AH36" s="304">
        <f t="shared" ca="1" si="28"/>
        <v>149.09531612422785</v>
      </c>
    </row>
    <row r="37" spans="1:34" x14ac:dyDescent="0.3">
      <c r="A37" s="347">
        <f t="shared" ca="1" si="6"/>
        <v>0.01</v>
      </c>
      <c r="B37" s="304">
        <f t="shared" ca="1" si="7"/>
        <v>0.33000000000000013</v>
      </c>
      <c r="D37" s="306">
        <f t="shared" ca="1" si="8"/>
        <v>26.601902440288917</v>
      </c>
      <c r="E37" s="307">
        <f t="shared" ca="1" si="9"/>
        <v>136.2313448652674</v>
      </c>
      <c r="F37" s="304">
        <f t="shared" ca="1" si="10"/>
        <v>138.80432463450867</v>
      </c>
      <c r="G37" s="306">
        <f t="shared" ca="1" si="11"/>
        <v>7.6446787370899933</v>
      </c>
      <c r="H37" s="307">
        <f t="shared" ca="1" si="12"/>
        <v>41.870295543646357</v>
      </c>
      <c r="I37" s="304">
        <f t="shared" ca="1" si="13"/>
        <v>42.562457188296911</v>
      </c>
      <c r="J37" s="306">
        <f t="shared" ca="1" si="14"/>
        <v>1.1651683059906524</v>
      </c>
      <c r="K37" s="307">
        <f t="shared" ca="1" si="15"/>
        <v>6.525430582320392</v>
      </c>
      <c r="L37" s="304">
        <f t="shared" ca="1" si="0"/>
        <v>6.6286394883088473</v>
      </c>
      <c r="M37" s="306">
        <f t="shared" ca="1" si="16"/>
        <v>1.390205481913992</v>
      </c>
      <c r="N37" s="304">
        <f t="shared" ca="1" si="17"/>
        <v>79.652906769622433</v>
      </c>
      <c r="P37" s="310">
        <f t="shared" ca="1" si="18"/>
        <v>9</v>
      </c>
      <c r="Q37" s="304">
        <f t="shared" ca="1" si="19"/>
        <v>68.5</v>
      </c>
      <c r="R37" s="306">
        <f t="shared" ca="1" si="20"/>
        <v>3.7130617240776362E-2</v>
      </c>
      <c r="S37" s="307">
        <f t="shared" ca="1" si="21"/>
        <v>0.44666242350061208</v>
      </c>
      <c r="T37" s="304">
        <f t="shared" ca="1" si="1"/>
        <v>4.3817583745410049</v>
      </c>
      <c r="U37" s="311">
        <f t="shared" ca="1" si="2"/>
        <v>0</v>
      </c>
      <c r="V37" s="306">
        <f t="shared" ca="1" si="3"/>
        <v>1.2242008954787198</v>
      </c>
      <c r="W37" s="304">
        <f t="shared" ca="1" si="4"/>
        <v>2.3458814941788431</v>
      </c>
      <c r="Y37" s="314" t="str">
        <f t="shared" ca="1" si="22"/>
        <v/>
      </c>
      <c r="Z37" s="315" t="str">
        <f t="shared" ca="1" si="23"/>
        <v/>
      </c>
      <c r="AA37" s="316" t="str">
        <f t="shared" ca="1" si="24"/>
        <v/>
      </c>
      <c r="AC37" s="310" t="e">
        <f t="shared" ca="1" si="25"/>
        <v>#N/A</v>
      </c>
      <c r="AD37" s="323" t="e">
        <f t="shared" ca="1" si="26"/>
        <v>#N/A</v>
      </c>
      <c r="AE37" s="324">
        <f t="shared" ca="1" si="5"/>
        <v>6.525430582320392</v>
      </c>
      <c r="AG37" s="306">
        <f t="shared" ca="1" si="27"/>
        <v>138.79319142764732</v>
      </c>
      <c r="AH37" s="304">
        <f t="shared" ca="1" si="28"/>
        <v>148.44438562471339</v>
      </c>
    </row>
    <row r="38" spans="1:34" x14ac:dyDescent="0.3">
      <c r="A38" s="347">
        <f t="shared" ca="1" si="6"/>
        <v>0.01</v>
      </c>
      <c r="B38" s="304">
        <f t="shared" ca="1" si="7"/>
        <v>0.34000000000000014</v>
      </c>
      <c r="D38" s="306">
        <f t="shared" ca="1" si="8"/>
        <v>26.543315487515024</v>
      </c>
      <c r="E38" s="307">
        <f t="shared" ca="1" si="9"/>
        <v>135.56909340498382</v>
      </c>
      <c r="F38" s="304">
        <f t="shared" ca="1" si="10"/>
        <v>138.14313838811893</v>
      </c>
      <c r="G38" s="306">
        <f t="shared" ca="1" si="11"/>
        <v>7.9101118919651432</v>
      </c>
      <c r="H38" s="307">
        <f t="shared" ca="1" si="12"/>
        <v>43.225986477696196</v>
      </c>
      <c r="I38" s="304">
        <f t="shared" ca="1" si="13"/>
        <v>43.943779731759342</v>
      </c>
      <c r="J38" s="306">
        <f t="shared" ca="1" si="14"/>
        <v>1.242942259135928</v>
      </c>
      <c r="K38" s="307">
        <f t="shared" ca="1" si="15"/>
        <v>6.9509119924271046</v>
      </c>
      <c r="L38" s="304">
        <f t="shared" ca="1" si="0"/>
        <v>7.0611672537911794</v>
      </c>
      <c r="M38" s="306">
        <f t="shared" ca="1" si="16"/>
        <v>1.3898045190451467</v>
      </c>
      <c r="N38" s="304">
        <f t="shared" ca="1" si="17"/>
        <v>79.629933289496151</v>
      </c>
      <c r="P38" s="310">
        <f t="shared" ca="1" si="18"/>
        <v>9</v>
      </c>
      <c r="Q38" s="304">
        <f t="shared" ca="1" si="19"/>
        <v>68.3</v>
      </c>
      <c r="R38" s="306">
        <f t="shared" ca="1" si="20"/>
        <v>3.7022206679489418E-2</v>
      </c>
      <c r="S38" s="307">
        <f t="shared" ca="1" si="21"/>
        <v>0.4462922014338172</v>
      </c>
      <c r="T38" s="304">
        <f t="shared" ca="1" si="1"/>
        <v>4.3781264960657467</v>
      </c>
      <c r="U38" s="311">
        <f t="shared" ca="1" si="2"/>
        <v>0</v>
      </c>
      <c r="V38" s="306">
        <f t="shared" ca="1" si="3"/>
        <v>1.2241488091085766</v>
      </c>
      <c r="W38" s="304">
        <f t="shared" ca="1" si="4"/>
        <v>2.5005124673684076</v>
      </c>
      <c r="Y38" s="314" t="str">
        <f t="shared" ca="1" si="22"/>
        <v/>
      </c>
      <c r="Z38" s="315" t="str">
        <f t="shared" ca="1" si="23"/>
        <v/>
      </c>
      <c r="AA38" s="316" t="str">
        <f t="shared" ca="1" si="24"/>
        <v/>
      </c>
      <c r="AC38" s="310" t="e">
        <f t="shared" ca="1" si="25"/>
        <v>#N/A</v>
      </c>
      <c r="AD38" s="323" t="e">
        <f t="shared" ca="1" si="26"/>
        <v>#N/A</v>
      </c>
      <c r="AE38" s="324">
        <f t="shared" ca="1" si="5"/>
        <v>6.9509119924271046</v>
      </c>
      <c r="AG38" s="306">
        <f t="shared" ca="1" si="27"/>
        <v>138.13190110148804</v>
      </c>
      <c r="AH38" s="304">
        <f t="shared" ca="1" si="28"/>
        <v>147.78236835402512</v>
      </c>
    </row>
    <row r="39" spans="1:34" x14ac:dyDescent="0.3">
      <c r="A39" s="347">
        <f t="shared" ca="1" si="6"/>
        <v>0.01</v>
      </c>
      <c r="B39" s="304">
        <f t="shared" ca="1" si="7"/>
        <v>0.35000000000000014</v>
      </c>
      <c r="D39" s="306">
        <f t="shared" ca="1" si="8"/>
        <v>26.480472457115489</v>
      </c>
      <c r="E39" s="307">
        <f t="shared" ca="1" si="9"/>
        <v>134.89649214418526</v>
      </c>
      <c r="F39" s="304">
        <f t="shared" ca="1" si="10"/>
        <v>137.4710115419185</v>
      </c>
      <c r="G39" s="306">
        <f t="shared" ca="1" si="11"/>
        <v>8.1749166165362972</v>
      </c>
      <c r="H39" s="307">
        <f t="shared" ca="1" si="12"/>
        <v>44.574951399138051</v>
      </c>
      <c r="I39" s="304">
        <f t="shared" ca="1" si="13"/>
        <v>45.31837986868949</v>
      </c>
      <c r="J39" s="306">
        <f t="shared" ca="1" si="14"/>
        <v>1.3233674016784351</v>
      </c>
      <c r="K39" s="307">
        <f t="shared" ca="1" si="15"/>
        <v>7.3899166818112754</v>
      </c>
      <c r="L39" s="304">
        <f t="shared" ca="1" si="0"/>
        <v>7.507474265286409</v>
      </c>
      <c r="M39" s="306">
        <f t="shared" ca="1" si="16"/>
        <v>1.3894148643975628</v>
      </c>
      <c r="N39" s="304">
        <f t="shared" ca="1" si="17"/>
        <v>79.607607722721937</v>
      </c>
      <c r="P39" s="310">
        <f t="shared" ca="1" si="18"/>
        <v>9</v>
      </c>
      <c r="Q39" s="304">
        <f t="shared" ca="1" si="19"/>
        <v>68.099999999999994</v>
      </c>
      <c r="R39" s="306">
        <f t="shared" ca="1" si="20"/>
        <v>3.6913796118202481E-2</v>
      </c>
      <c r="S39" s="307">
        <f t="shared" ca="1" si="21"/>
        <v>0.44592306347263516</v>
      </c>
      <c r="T39" s="304">
        <f t="shared" ca="1" si="1"/>
        <v>4.3745052526665509</v>
      </c>
      <c r="U39" s="311">
        <f t="shared" ca="1" si="2"/>
        <v>0</v>
      </c>
      <c r="V39" s="306">
        <f t="shared" ca="1" si="3"/>
        <v>1.2240950695745003</v>
      </c>
      <c r="W39" s="304">
        <f t="shared" ca="1" si="4"/>
        <v>2.6592789214109791</v>
      </c>
      <c r="Y39" s="314" t="str">
        <f t="shared" ca="1" si="22"/>
        <v/>
      </c>
      <c r="Z39" s="315" t="str">
        <f t="shared" ca="1" si="23"/>
        <v/>
      </c>
      <c r="AA39" s="316" t="str">
        <f t="shared" ca="1" si="24"/>
        <v/>
      </c>
      <c r="AC39" s="310" t="e">
        <f t="shared" ca="1" si="25"/>
        <v>#N/A</v>
      </c>
      <c r="AD39" s="323" t="e">
        <f t="shared" ca="1" si="26"/>
        <v>#N/A</v>
      </c>
      <c r="AE39" s="324">
        <f t="shared" ca="1" si="5"/>
        <v>7.3899166818112754</v>
      </c>
      <c r="AG39" s="306">
        <f t="shared" ca="1" si="27"/>
        <v>137.45966965685156</v>
      </c>
      <c r="AH39" s="304">
        <f t="shared" ca="1" si="28"/>
        <v>147.10942964415028</v>
      </c>
    </row>
    <row r="40" spans="1:34" x14ac:dyDescent="0.3">
      <c r="A40" s="347">
        <f t="shared" ca="1" si="6"/>
        <v>0.01</v>
      </c>
      <c r="B40" s="304">
        <f t="shared" ca="1" si="7"/>
        <v>0.36000000000000015</v>
      </c>
      <c r="D40" s="306">
        <f t="shared" ca="1" si="8"/>
        <v>26.413525851749089</v>
      </c>
      <c r="E40" s="307">
        <f t="shared" ca="1" si="9"/>
        <v>134.21368688874122</v>
      </c>
      <c r="F40" s="304">
        <f t="shared" ca="1" si="10"/>
        <v>136.78811387028512</v>
      </c>
      <c r="G40" s="306">
        <f t="shared" ca="1" si="11"/>
        <v>8.4390518750537886</v>
      </c>
      <c r="H40" s="307">
        <f t="shared" ca="1" si="12"/>
        <v>45.917088268025466</v>
      </c>
      <c r="I40" s="304">
        <f t="shared" ca="1" si="13"/>
        <v>46.686149890127922</v>
      </c>
      <c r="J40" s="306">
        <f t="shared" ca="1" si="14"/>
        <v>1.4064372441363855</v>
      </c>
      <c r="K40" s="307">
        <f t="shared" ca="1" si="15"/>
        <v>7.8423768801470928</v>
      </c>
      <c r="L40" s="304">
        <f t="shared" ca="1" si="0"/>
        <v>7.9674927581993824</v>
      </c>
      <c r="M40" s="306">
        <f t="shared" ca="1" si="16"/>
        <v>1.3890358201467066</v>
      </c>
      <c r="N40" s="304">
        <f t="shared" ca="1" si="17"/>
        <v>79.58589008689917</v>
      </c>
      <c r="P40" s="310">
        <f t="shared" ca="1" si="18"/>
        <v>9</v>
      </c>
      <c r="Q40" s="304">
        <f t="shared" ca="1" si="19"/>
        <v>67.899999999999991</v>
      </c>
      <c r="R40" s="306">
        <f t="shared" ca="1" si="20"/>
        <v>3.6805385556915544E-2</v>
      </c>
      <c r="S40" s="307">
        <f t="shared" ca="1" si="21"/>
        <v>0.44555500961706601</v>
      </c>
      <c r="T40" s="304">
        <f t="shared" ca="1" si="1"/>
        <v>4.3708946443434176</v>
      </c>
      <c r="U40" s="311">
        <f t="shared" ca="1" si="2"/>
        <v>0</v>
      </c>
      <c r="V40" s="306">
        <f t="shared" ca="1" si="3"/>
        <v>1.2240396853896369</v>
      </c>
      <c r="W40" s="304">
        <f t="shared" ca="1" si="4"/>
        <v>2.8220948763798859</v>
      </c>
      <c r="Y40" s="314" t="str">
        <f t="shared" ca="1" si="22"/>
        <v/>
      </c>
      <c r="Z40" s="315" t="str">
        <f t="shared" ca="1" si="23"/>
        <v/>
      </c>
      <c r="AA40" s="316" t="str">
        <f t="shared" ca="1" si="24"/>
        <v/>
      </c>
      <c r="AC40" s="310" t="e">
        <f t="shared" ca="1" si="25"/>
        <v>#N/A</v>
      </c>
      <c r="AD40" s="323" t="e">
        <f t="shared" ca="1" si="26"/>
        <v>#N/A</v>
      </c>
      <c r="AE40" s="324">
        <f t="shared" ca="1" si="5"/>
        <v>7.8423768801470928</v>
      </c>
      <c r="AG40" s="306">
        <f t="shared" ca="1" si="27"/>
        <v>136.7766667632815</v>
      </c>
      <c r="AH40" s="304">
        <f t="shared" ca="1" si="28"/>
        <v>146.42573794571496</v>
      </c>
    </row>
    <row r="41" spans="1:34" x14ac:dyDescent="0.3">
      <c r="A41" s="347">
        <f t="shared" ca="1" si="6"/>
        <v>0.01</v>
      </c>
      <c r="B41" s="304">
        <f t="shared" ca="1" si="7"/>
        <v>0.37000000000000016</v>
      </c>
      <c r="D41" s="306">
        <f t="shared" ca="1" si="8"/>
        <v>26.342617531223009</v>
      </c>
      <c r="E41" s="307">
        <f t="shared" ca="1" si="9"/>
        <v>133.52082819025716</v>
      </c>
      <c r="F41" s="304">
        <f t="shared" ca="1" si="10"/>
        <v>136.09461803836501</v>
      </c>
      <c r="G41" s="306">
        <f t="shared" ca="1" si="11"/>
        <v>8.7024780503660182</v>
      </c>
      <c r="H41" s="307">
        <f t="shared" ca="1" si="12"/>
        <v>47.25229654992804</v>
      </c>
      <c r="I41" s="304">
        <f t="shared" ca="1" si="13"/>
        <v>48.046983812300269</v>
      </c>
      <c r="J41" s="306">
        <f t="shared" ca="1" si="14"/>
        <v>1.4921448937634845</v>
      </c>
      <c r="K41" s="307">
        <f t="shared" ca="1" si="15"/>
        <v>8.3082238042368601</v>
      </c>
      <c r="L41" s="304">
        <f t="shared" ca="1" si="0"/>
        <v>8.4411539001058635</v>
      </c>
      <c r="M41" s="306">
        <f t="shared" ca="1" si="16"/>
        <v>1.3886667503683408</v>
      </c>
      <c r="N41" s="304">
        <f t="shared" ca="1" si="17"/>
        <v>79.564743946252989</v>
      </c>
      <c r="P41" s="310">
        <f t="shared" ca="1" si="18"/>
        <v>9</v>
      </c>
      <c r="Q41" s="304">
        <f t="shared" ca="1" si="19"/>
        <v>67.7</v>
      </c>
      <c r="R41" s="306">
        <f t="shared" ca="1" si="20"/>
        <v>3.6696974995628608E-2</v>
      </c>
      <c r="S41" s="307">
        <f t="shared" ca="1" si="21"/>
        <v>0.44518803986710975</v>
      </c>
      <c r="T41" s="304">
        <f t="shared" ca="1" si="1"/>
        <v>4.3672946710963467</v>
      </c>
      <c r="U41" s="311">
        <f t="shared" ca="1" si="2"/>
        <v>0</v>
      </c>
      <c r="V41" s="306">
        <f t="shared" ca="1" si="3"/>
        <v>1.2239826651962427</v>
      </c>
      <c r="W41" s="304">
        <f t="shared" ca="1" si="4"/>
        <v>2.988873386810651</v>
      </c>
      <c r="Y41" s="314" t="str">
        <f t="shared" ca="1" si="22"/>
        <v/>
      </c>
      <c r="Z41" s="315" t="str">
        <f t="shared" ca="1" si="23"/>
        <v/>
      </c>
      <c r="AA41" s="316" t="str">
        <f t="shared" ca="1" si="24"/>
        <v/>
      </c>
      <c r="AC41" s="310" t="e">
        <f t="shared" ca="1" si="25"/>
        <v>#N/A</v>
      </c>
      <c r="AD41" s="323" t="e">
        <f t="shared" ca="1" si="26"/>
        <v>#N/A</v>
      </c>
      <c r="AE41" s="324">
        <f t="shared" ca="1" si="5"/>
        <v>8.3082238042368601</v>
      </c>
      <c r="AG41" s="306">
        <f t="shared" ca="1" si="27"/>
        <v>136.08306498724619</v>
      </c>
      <c r="AH41" s="304">
        <f t="shared" ca="1" si="28"/>
        <v>145.73146471541867</v>
      </c>
    </row>
    <row r="42" spans="1:34" x14ac:dyDescent="0.3">
      <c r="A42" s="347">
        <f t="shared" ca="1" si="6"/>
        <v>0.01</v>
      </c>
      <c r="B42" s="304">
        <f t="shared" ca="1" si="7"/>
        <v>0.38000000000000017</v>
      </c>
      <c r="D42" s="306">
        <f t="shared" ca="1" si="8"/>
        <v>26.267880040779922</v>
      </c>
      <c r="E42" s="307">
        <f t="shared" ca="1" si="9"/>
        <v>132.81807102083579</v>
      </c>
      <c r="F42" s="304">
        <f t="shared" ca="1" si="10"/>
        <v>135.39069950160012</v>
      </c>
      <c r="G42" s="306">
        <f t="shared" ca="1" si="11"/>
        <v>8.965156850773818</v>
      </c>
      <c r="H42" s="307">
        <f t="shared" ca="1" si="12"/>
        <v>48.580477260136398</v>
      </c>
      <c r="I42" s="304">
        <f t="shared" ca="1" si="13"/>
        <v>49.400777404628023</v>
      </c>
      <c r="J42" s="306">
        <f t="shared" ca="1" si="14"/>
        <v>1.5804830682691837</v>
      </c>
      <c r="K42" s="307">
        <f t="shared" ca="1" si="15"/>
        <v>8.7873876732871832</v>
      </c>
      <c r="L42" s="304">
        <f t="shared" ca="1" si="0"/>
        <v>8.9283878079821957</v>
      </c>
      <c r="M42" s="306">
        <f t="shared" ca="1" si="16"/>
        <v>1.3883070738875289</v>
      </c>
      <c r="N42" s="304">
        <f t="shared" ca="1" si="17"/>
        <v>79.544136001912349</v>
      </c>
      <c r="P42" s="310">
        <f t="shared" ca="1" si="18"/>
        <v>9</v>
      </c>
      <c r="Q42" s="304">
        <f t="shared" ca="1" si="19"/>
        <v>67.5</v>
      </c>
      <c r="R42" s="306">
        <f t="shared" ca="1" si="20"/>
        <v>3.6588564434341671E-2</v>
      </c>
      <c r="S42" s="307">
        <f t="shared" ca="1" si="21"/>
        <v>0.44482215422276633</v>
      </c>
      <c r="T42" s="304">
        <f t="shared" ca="1" si="1"/>
        <v>4.3637053329253384</v>
      </c>
      <c r="U42" s="311">
        <f t="shared" ca="1" si="2"/>
        <v>0</v>
      </c>
      <c r="V42" s="306">
        <f t="shared" ca="1" si="3"/>
        <v>1.2239240177636743</v>
      </c>
      <c r="W42" s="304">
        <f t="shared" ca="1" si="4"/>
        <v>3.1595265964496293</v>
      </c>
      <c r="Y42" s="314" t="str">
        <f t="shared" ca="1" si="22"/>
        <v/>
      </c>
      <c r="Z42" s="315" t="str">
        <f t="shared" ca="1" si="23"/>
        <v/>
      </c>
      <c r="AA42" s="316" t="str">
        <f t="shared" ca="1" si="24"/>
        <v/>
      </c>
      <c r="AC42" s="310" t="e">
        <f t="shared" ca="1" si="25"/>
        <v>#N/A</v>
      </c>
      <c r="AD42" s="323" t="e">
        <f t="shared" ca="1" si="26"/>
        <v>#N/A</v>
      </c>
      <c r="AE42" s="324">
        <f t="shared" ca="1" si="5"/>
        <v>8.7873876732871832</v>
      </c>
      <c r="AG42" s="306">
        <f t="shared" ca="1" si="27"/>
        <v>135.37903969083848</v>
      </c>
      <c r="AH42" s="304">
        <f t="shared" ca="1" si="28"/>
        <v>145.02678430193984</v>
      </c>
    </row>
    <row r="43" spans="1:34" x14ac:dyDescent="0.3">
      <c r="A43" s="347">
        <f t="shared" ca="1" si="6"/>
        <v>0.01</v>
      </c>
      <c r="B43" s="304">
        <f t="shared" ca="1" si="7"/>
        <v>0.39000000000000018</v>
      </c>
      <c r="D43" s="306">
        <f t="shared" ca="1" si="8"/>
        <v>26.189437743499532</v>
      </c>
      <c r="E43" s="307">
        <f t="shared" ca="1" si="9"/>
        <v>132.10557447698426</v>
      </c>
      <c r="F43" s="304">
        <f t="shared" ca="1" si="10"/>
        <v>134.67653640190883</v>
      </c>
      <c r="G43" s="306">
        <f t="shared" ca="1" si="11"/>
        <v>9.2270512282088131</v>
      </c>
      <c r="H43" s="307">
        <f t="shared" ca="1" si="12"/>
        <v>49.901533004906241</v>
      </c>
      <c r="I43" s="304">
        <f t="shared" ca="1" si="13"/>
        <v>50.747428216686373</v>
      </c>
      <c r="J43" s="306">
        <f t="shared" ca="1" si="14"/>
        <v>1.671444108664097</v>
      </c>
      <c r="K43" s="307">
        <f t="shared" ca="1" si="15"/>
        <v>9.279797724612397</v>
      </c>
      <c r="L43" s="304">
        <f t="shared" ca="1" si="0"/>
        <v>9.4291235657461474</v>
      </c>
      <c r="M43" s="306">
        <f t="shared" ca="1" si="16"/>
        <v>1.3879562581340577</v>
      </c>
      <c r="N43" s="304">
        <f t="shared" ca="1" si="17"/>
        <v>79.52403573985174</v>
      </c>
      <c r="P43" s="310">
        <f t="shared" ca="1" si="18"/>
        <v>9</v>
      </c>
      <c r="Q43" s="304">
        <f t="shared" ca="1" si="19"/>
        <v>67.3</v>
      </c>
      <c r="R43" s="306">
        <f t="shared" ca="1" si="20"/>
        <v>3.6480153873054727E-2</v>
      </c>
      <c r="S43" s="307">
        <f t="shared" ca="1" si="21"/>
        <v>0.4444573526840358</v>
      </c>
      <c r="T43" s="304">
        <f t="shared" ca="1" si="1"/>
        <v>4.3601266298303916</v>
      </c>
      <c r="U43" s="311">
        <f t="shared" ca="1" si="2"/>
        <v>0</v>
      </c>
      <c r="V43" s="306">
        <f t="shared" ca="1" si="3"/>
        <v>1.2238637519863216</v>
      </c>
      <c r="W43" s="304">
        <f t="shared" ca="1" si="4"/>
        <v>3.3339657932673319</v>
      </c>
      <c r="Y43" s="314" t="str">
        <f t="shared" ca="1" si="22"/>
        <v/>
      </c>
      <c r="Z43" s="315" t="str">
        <f t="shared" ca="1" si="23"/>
        <v/>
      </c>
      <c r="AA43" s="316" t="str">
        <f t="shared" ca="1" si="24"/>
        <v/>
      </c>
      <c r="AC43" s="310" t="e">
        <f t="shared" ca="1" si="25"/>
        <v>#N/A</v>
      </c>
      <c r="AD43" s="323" t="e">
        <f t="shared" ca="1" si="26"/>
        <v>#N/A</v>
      </c>
      <c r="AE43" s="324">
        <f t="shared" ca="1" si="5"/>
        <v>9.279797724612397</v>
      </c>
      <c r="AG43" s="306">
        <f t="shared" ca="1" si="27"/>
        <v>134.66476892724381</v>
      </c>
      <c r="AH43" s="304">
        <f t="shared" ca="1" si="28"/>
        <v>144.31187383044096</v>
      </c>
    </row>
    <row r="44" spans="1:34" x14ac:dyDescent="0.3">
      <c r="A44" s="347">
        <f t="shared" ca="1" si="6"/>
        <v>0.01</v>
      </c>
      <c r="B44" s="304">
        <f t="shared" ca="1" si="7"/>
        <v>0.40000000000000019</v>
      </c>
      <c r="D44" s="306">
        <f t="shared" ca="1" si="8"/>
        <v>26.107407789927148</v>
      </c>
      <c r="E44" s="307">
        <f t="shared" ca="1" si="9"/>
        <v>131.38350150768593</v>
      </c>
      <c r="F44" s="304">
        <f t="shared" ca="1" si="10"/>
        <v>133.95230946097817</v>
      </c>
      <c r="G44" s="306">
        <f t="shared" ca="1" si="11"/>
        <v>9.4881253061080848</v>
      </c>
      <c r="H44" s="307">
        <f t="shared" ca="1" si="12"/>
        <v>51.215368019983103</v>
      </c>
      <c r="I44" s="304">
        <f t="shared" ca="1" si="13"/>
        <v>52.086835604082502</v>
      </c>
      <c r="J44" s="306">
        <f t="shared" ca="1" si="14"/>
        <v>1.7650199913356814</v>
      </c>
      <c r="K44" s="307">
        <f t="shared" ca="1" si="15"/>
        <v>9.7853822297368431</v>
      </c>
      <c r="L44" s="304">
        <f t="shared" ca="1" si="0"/>
        <v>9.9432892420900743</v>
      </c>
      <c r="M44" s="306">
        <f t="shared" ca="1" si="16"/>
        <v>1.3876138138386673</v>
      </c>
      <c r="N44" s="304">
        <f t="shared" ca="1" si="17"/>
        <v>79.504415127007547</v>
      </c>
      <c r="P44" s="310">
        <f t="shared" ca="1" si="18"/>
        <v>9</v>
      </c>
      <c r="Q44" s="304">
        <f t="shared" ca="1" si="19"/>
        <v>67.099999999999994</v>
      </c>
      <c r="R44" s="306">
        <f t="shared" ca="1" si="20"/>
        <v>3.637174331176779E-2</v>
      </c>
      <c r="S44" s="307">
        <f t="shared" ca="1" si="21"/>
        <v>0.44409363525091811</v>
      </c>
      <c r="T44" s="304">
        <f t="shared" ca="1" si="1"/>
        <v>4.3565585618115072</v>
      </c>
      <c r="U44" s="311">
        <f t="shared" ca="1" si="2"/>
        <v>0</v>
      </c>
      <c r="V44" s="306">
        <f t="shared" ca="1" si="3"/>
        <v>1.2238018768814909</v>
      </c>
      <c r="W44" s="304">
        <f t="shared" ca="1" si="4"/>
        <v>3.5121014646776492</v>
      </c>
      <c r="Y44" s="314" t="str">
        <f t="shared" ca="1" si="22"/>
        <v/>
      </c>
      <c r="Z44" s="315" t="str">
        <f t="shared" ca="1" si="23"/>
        <v/>
      </c>
      <c r="AA44" s="316" t="str">
        <f t="shared" ca="1" si="24"/>
        <v/>
      </c>
      <c r="AC44" s="310" t="e">
        <f t="shared" ca="1" si="25"/>
        <v>#N/A</v>
      </c>
      <c r="AD44" s="323" t="e">
        <f t="shared" ca="1" si="26"/>
        <v>#N/A</v>
      </c>
      <c r="AE44" s="324">
        <f t="shared" ca="1" si="5"/>
        <v>9.7853822297368431</v>
      </c>
      <c r="AG44" s="306">
        <f t="shared" ca="1" si="27"/>
        <v>133.94043333341477</v>
      </c>
      <c r="AH44" s="304">
        <f t="shared" ca="1" si="28"/>
        <v>143.58691308580478</v>
      </c>
    </row>
    <row r="45" spans="1:34" x14ac:dyDescent="0.3">
      <c r="A45" s="347">
        <f t="shared" ca="1" si="6"/>
        <v>0.01</v>
      </c>
      <c r="B45" s="304">
        <f t="shared" ca="1" si="7"/>
        <v>0.4100000000000002</v>
      </c>
      <c r="D45" s="306">
        <f t="shared" ca="1" si="8"/>
        <v>26.021900951681324</v>
      </c>
      <c r="E45" s="307">
        <f t="shared" ca="1" si="9"/>
        <v>130.65201866262802</v>
      </c>
      <c r="F45" s="304">
        <f t="shared" ca="1" si="10"/>
        <v>133.21820187106121</v>
      </c>
      <c r="G45" s="306">
        <f t="shared" ca="1" si="11"/>
        <v>9.7483443156248981</v>
      </c>
      <c r="H45" s="307">
        <f t="shared" ca="1" si="12"/>
        <v>52.521888206609383</v>
      </c>
      <c r="I45" s="304">
        <f t="shared" ca="1" si="13"/>
        <v>53.418900753231064</v>
      </c>
      <c r="J45" s="306">
        <f t="shared" ca="1" si="14"/>
        <v>1.8612023394443464</v>
      </c>
      <c r="K45" s="307">
        <f t="shared" ca="1" si="15"/>
        <v>10.304068510869806</v>
      </c>
      <c r="L45" s="304">
        <f t="shared" ca="1" si="0"/>
        <v>10.470811908589123</v>
      </c>
      <c r="M45" s="306">
        <f t="shared" ca="1" si="16"/>
        <v>1.3872792904354643</v>
      </c>
      <c r="N45" s="304">
        <f t="shared" ca="1" si="17"/>
        <v>79.485248347855659</v>
      </c>
      <c r="P45" s="310">
        <f t="shared" ca="1" si="18"/>
        <v>10</v>
      </c>
      <c r="Q45" s="304">
        <f t="shared" ca="1" si="19"/>
        <v>66.899999999999991</v>
      </c>
      <c r="R45" s="306">
        <f t="shared" ca="1" si="20"/>
        <v>3.6263332750480853E-2</v>
      </c>
      <c r="S45" s="307">
        <f t="shared" ca="1" si="21"/>
        <v>0.4437310019234133</v>
      </c>
      <c r="T45" s="304">
        <f t="shared" ca="1" si="1"/>
        <v>4.3530011288686845</v>
      </c>
      <c r="U45" s="311">
        <f t="shared" ca="1" si="2"/>
        <v>0</v>
      </c>
      <c r="V45" s="306">
        <f t="shared" ca="1" si="3"/>
        <v>1.2237384015872428</v>
      </c>
      <c r="W45" s="304">
        <f t="shared" ca="1" si="4"/>
        <v>3.6938433529044237</v>
      </c>
      <c r="Y45" s="314" t="str">
        <f t="shared" ca="1" si="22"/>
        <v/>
      </c>
      <c r="Z45" s="315" t="str">
        <f t="shared" ca="1" si="23"/>
        <v/>
      </c>
      <c r="AA45" s="316" t="str">
        <f t="shared" ca="1" si="24"/>
        <v/>
      </c>
      <c r="AC45" s="310" t="e">
        <f t="shared" ca="1" si="25"/>
        <v>#N/A</v>
      </c>
      <c r="AD45" s="323" t="e">
        <f t="shared" ca="1" si="26"/>
        <v>#N/A</v>
      </c>
      <c r="AE45" s="324">
        <f t="shared" ca="1" si="5"/>
        <v>10.304068510869806</v>
      </c>
      <c r="AG45" s="306">
        <f t="shared" ca="1" si="27"/>
        <v>133.20621602033097</v>
      </c>
      <c r="AH45" s="304">
        <f t="shared" ca="1" si="28"/>
        <v>142.8520843947318</v>
      </c>
    </row>
    <row r="46" spans="1:34" x14ac:dyDescent="0.3">
      <c r="A46" s="347">
        <f t="shared" ca="1" si="6"/>
        <v>0.01</v>
      </c>
      <c r="B46" s="304">
        <f t="shared" ca="1" si="7"/>
        <v>0.42000000000000021</v>
      </c>
      <c r="D46" s="306">
        <f t="shared" ca="1" si="8"/>
        <v>25.933022340794434</v>
      </c>
      <c r="E46" s="307">
        <f t="shared" ca="1" si="9"/>
        <v>129.91129585734663</v>
      </c>
      <c r="F46" s="304">
        <f t="shared" ca="1" si="10"/>
        <v>132.4743991836279</v>
      </c>
      <c r="G46" s="306">
        <f t="shared" ca="1" si="11"/>
        <v>10.007674539032843</v>
      </c>
      <c r="H46" s="307">
        <f t="shared" ca="1" si="12"/>
        <v>53.821001165182849</v>
      </c>
      <c r="I46" s="304">
        <f t="shared" ca="1" si="13"/>
        <v>54.743526705007049</v>
      </c>
      <c r="J46" s="306">
        <f t="shared" ca="1" si="14"/>
        <v>1.959982433717635</v>
      </c>
      <c r="K46" s="307">
        <f t="shared" ca="1" si="15"/>
        <v>10.835782957728767</v>
      </c>
      <c r="L46" s="304">
        <f t="shared" ca="1" si="0"/>
        <v>11.011617658068541</v>
      </c>
      <c r="M46" s="306">
        <f t="shared" ca="1" si="16"/>
        <v>1.3869522720604099</v>
      </c>
      <c r="N46" s="304">
        <f t="shared" ca="1" si="17"/>
        <v>79.466511575141823</v>
      </c>
      <c r="P46" s="310">
        <f t="shared" ca="1" si="18"/>
        <v>10</v>
      </c>
      <c r="Q46" s="304">
        <f t="shared" ca="1" si="19"/>
        <v>66.7</v>
      </c>
      <c r="R46" s="306">
        <f t="shared" ca="1" si="20"/>
        <v>3.6154922189193917E-2</v>
      </c>
      <c r="S46" s="307">
        <f t="shared" ca="1" si="21"/>
        <v>0.44336945270152134</v>
      </c>
      <c r="T46" s="304">
        <f t="shared" ca="1" si="1"/>
        <v>4.3494543310019242</v>
      </c>
      <c r="U46" s="311">
        <f t="shared" ca="1" si="2"/>
        <v>0</v>
      </c>
      <c r="V46" s="306">
        <f t="shared" ca="1" si="3"/>
        <v>1.223673335360183</v>
      </c>
      <c r="W46" s="304">
        <f t="shared" ca="1" si="4"/>
        <v>3.8791005104371412</v>
      </c>
      <c r="Y46" s="314" t="str">
        <f t="shared" ca="1" si="22"/>
        <v/>
      </c>
      <c r="Z46" s="315" t="str">
        <f t="shared" ca="1" si="23"/>
        <v/>
      </c>
      <c r="AA46" s="316" t="str">
        <f t="shared" ca="1" si="24"/>
        <v/>
      </c>
      <c r="AC46" s="310" t="e">
        <f t="shared" ca="1" si="25"/>
        <v>#N/A</v>
      </c>
      <c r="AD46" s="323" t="e">
        <f t="shared" ca="1" si="26"/>
        <v>#N/A</v>
      </c>
      <c r="AE46" s="324">
        <f t="shared" ca="1" si="5"/>
        <v>10.835782957728767</v>
      </c>
      <c r="AG46" s="306">
        <f t="shared" ca="1" si="27"/>
        <v>132.46230246117858</v>
      </c>
      <c r="AH46" s="304">
        <f t="shared" ca="1" si="28"/>
        <v>142.10757250683136</v>
      </c>
    </row>
    <row r="47" spans="1:34" x14ac:dyDescent="0.3">
      <c r="A47" s="347">
        <f t="shared" ca="1" si="6"/>
        <v>0.01</v>
      </c>
      <c r="B47" s="304">
        <f t="shared" ca="1" si="7"/>
        <v>0.43000000000000022</v>
      </c>
      <c r="D47" s="306">
        <f t="shared" ca="1" si="8"/>
        <v>25.840872032582762</v>
      </c>
      <c r="E47" s="307">
        <f t="shared" ca="1" si="9"/>
        <v>129.1615061526557</v>
      </c>
      <c r="F47" s="304">
        <f t="shared" ca="1" si="10"/>
        <v>131.72108919617554</v>
      </c>
      <c r="G47" s="306">
        <f t="shared" ca="1" si="11"/>
        <v>10.26608325935867</v>
      </c>
      <c r="H47" s="307">
        <f t="shared" ca="1" si="12"/>
        <v>55.112616226709406</v>
      </c>
      <c r="I47" s="304">
        <f t="shared" ca="1" si="13"/>
        <v>56.060618377258713</v>
      </c>
      <c r="J47" s="306">
        <f t="shared" ca="1" si="14"/>
        <v>2.0613512227095927</v>
      </c>
      <c r="K47" s="307">
        <f t="shared" ca="1" si="15"/>
        <v>11.380451044688229</v>
      </c>
      <c r="L47" s="304">
        <f t="shared" ca="1" si="0"/>
        <v>11.565631623215038</v>
      </c>
      <c r="M47" s="306">
        <f t="shared" ca="1" si="16"/>
        <v>1.3866323740553343</v>
      </c>
      <c r="N47" s="304">
        <f t="shared" ca="1" si="17"/>
        <v>79.448182769576334</v>
      </c>
      <c r="P47" s="310">
        <f t="shared" ca="1" si="18"/>
        <v>10</v>
      </c>
      <c r="Q47" s="304">
        <f t="shared" ca="1" si="19"/>
        <v>66.5</v>
      </c>
      <c r="R47" s="306">
        <f t="shared" ca="1" si="20"/>
        <v>3.604651162790698E-2</v>
      </c>
      <c r="S47" s="307">
        <f t="shared" ca="1" si="21"/>
        <v>0.44300898758524226</v>
      </c>
      <c r="T47" s="304">
        <f t="shared" ca="1" si="1"/>
        <v>4.3459181682112265</v>
      </c>
      <c r="U47" s="311">
        <f t="shared" ca="1" si="2"/>
        <v>0</v>
      </c>
      <c r="V47" s="306">
        <f t="shared" ca="1" si="3"/>
        <v>1.2236066875732188</v>
      </c>
      <c r="W47" s="304">
        <f t="shared" ca="1" si="4"/>
        <v>4.067781355517968</v>
      </c>
      <c r="Y47" s="314" t="str">
        <f t="shared" ca="1" si="22"/>
        <v/>
      </c>
      <c r="Z47" s="315" t="str">
        <f t="shared" ca="1" si="23"/>
        <v/>
      </c>
      <c r="AA47" s="316" t="str">
        <f t="shared" ca="1" si="24"/>
        <v/>
      </c>
      <c r="AC47" s="310" t="e">
        <f t="shared" ca="1" si="25"/>
        <v>#N/A</v>
      </c>
      <c r="AD47" s="323" t="e">
        <f t="shared" ca="1" si="26"/>
        <v>#N/A</v>
      </c>
      <c r="AE47" s="324">
        <f t="shared" ca="1" si="5"/>
        <v>11.380451044688229</v>
      </c>
      <c r="AG47" s="306">
        <f t="shared" ca="1" si="27"/>
        <v>131.7088803777464</v>
      </c>
      <c r="AH47" s="304">
        <f t="shared" ca="1" si="28"/>
        <v>141.35356447483713</v>
      </c>
    </row>
    <row r="48" spans="1:34" x14ac:dyDescent="0.3">
      <c r="A48" s="347">
        <f t="shared" ca="1" si="6"/>
        <v>0.01</v>
      </c>
      <c r="B48" s="304">
        <f t="shared" ca="1" si="7"/>
        <v>0.44000000000000022</v>
      </c>
      <c r="D48" s="306">
        <f t="shared" ca="1" si="8"/>
        <v>25.745545606688577</v>
      </c>
      <c r="E48" s="307">
        <f t="shared" ca="1" si="9"/>
        <v>128.40282554621632</v>
      </c>
      <c r="F48" s="304">
        <f t="shared" ca="1" si="10"/>
        <v>130.95846183747784</v>
      </c>
      <c r="G48" s="306">
        <f t="shared" ca="1" si="11"/>
        <v>10.523538715425556</v>
      </c>
      <c r="H48" s="307">
        <f t="shared" ca="1" si="12"/>
        <v>56.396644482171567</v>
      </c>
      <c r="I48" s="304">
        <f t="shared" ca="1" si="13"/>
        <v>57.370082586166056</v>
      </c>
      <c r="J48" s="306">
        <f t="shared" ca="1" si="14"/>
        <v>2.1652993325835137</v>
      </c>
      <c r="K48" s="307">
        <f t="shared" ca="1" si="15"/>
        <v>11.937997348232633</v>
      </c>
      <c r="L48" s="304">
        <f t="shared" ca="1" si="0"/>
        <v>12.132777995417868</v>
      </c>
      <c r="M48" s="306">
        <f t="shared" ca="1" si="16"/>
        <v>1.3863192399025852</v>
      </c>
      <c r="N48" s="304">
        <f t="shared" ca="1" si="17"/>
        <v>79.430241504202399</v>
      </c>
      <c r="P48" s="310">
        <f t="shared" ca="1" si="18"/>
        <v>10</v>
      </c>
      <c r="Q48" s="304">
        <f t="shared" ca="1" si="19"/>
        <v>66.3</v>
      </c>
      <c r="R48" s="306">
        <f t="shared" ca="1" si="20"/>
        <v>3.5938101066620036E-2</v>
      </c>
      <c r="S48" s="307">
        <f t="shared" ca="1" si="21"/>
        <v>0.44264960657457608</v>
      </c>
      <c r="T48" s="304">
        <f t="shared" ca="1" si="1"/>
        <v>4.342392640496592</v>
      </c>
      <c r="U48" s="311">
        <f t="shared" ca="1" si="2"/>
        <v>0</v>
      </c>
      <c r="V48" s="306">
        <f t="shared" ca="1" si="3"/>
        <v>1.2235384677132699</v>
      </c>
      <c r="W48" s="304">
        <f t="shared" ca="1" si="4"/>
        <v>4.2597937276028572</v>
      </c>
      <c r="Y48" s="314" t="str">
        <f t="shared" ca="1" si="22"/>
        <v/>
      </c>
      <c r="Z48" s="315" t="str">
        <f t="shared" ca="1" si="23"/>
        <v/>
      </c>
      <c r="AA48" s="316" t="str">
        <f t="shared" ca="1" si="24"/>
        <v/>
      </c>
      <c r="AC48" s="310" t="e">
        <f t="shared" ca="1" si="25"/>
        <v>#N/A</v>
      </c>
      <c r="AD48" s="323" t="e">
        <f t="shared" ca="1" si="26"/>
        <v>#N/A</v>
      </c>
      <c r="AE48" s="324">
        <f t="shared" ca="1" si="5"/>
        <v>11.937997348232633</v>
      </c>
      <c r="AG48" s="306">
        <f t="shared" ca="1" si="27"/>
        <v>130.94613962530786</v>
      </c>
      <c r="AH48" s="304">
        <f t="shared" ca="1" si="28"/>
        <v>140.5902495340801</v>
      </c>
    </row>
    <row r="49" spans="1:34" x14ac:dyDescent="0.3">
      <c r="A49" s="347">
        <f t="shared" ca="1" si="6"/>
        <v>0.01</v>
      </c>
      <c r="B49" s="304">
        <f t="shared" ca="1" si="7"/>
        <v>0.45000000000000023</v>
      </c>
      <c r="D49" s="306">
        <f t="shared" ca="1" si="8"/>
        <v>25.647134618408074</v>
      </c>
      <c r="E49" s="307">
        <f t="shared" ca="1" si="9"/>
        <v>127.63543277448892</v>
      </c>
      <c r="F49" s="304">
        <f t="shared" ca="1" si="10"/>
        <v>130.18670905152271</v>
      </c>
      <c r="G49" s="306">
        <f t="shared" ca="1" si="11"/>
        <v>10.780010061609635</v>
      </c>
      <c r="H49" s="307">
        <f t="shared" ca="1" si="12"/>
        <v>57.672998809916457</v>
      </c>
      <c r="I49" s="304">
        <f t="shared" ca="1" si="13"/>
        <v>58.671828066432617</v>
      </c>
      <c r="J49" s="306">
        <f t="shared" ca="1" si="14"/>
        <v>2.2718170764686896</v>
      </c>
      <c r="K49" s="307">
        <f t="shared" ca="1" si="15"/>
        <v>12.508345564693073</v>
      </c>
      <c r="L49" s="304">
        <f t="shared" ca="1" si="0"/>
        <v>12.712980043825743</v>
      </c>
      <c r="M49" s="306">
        <f t="shared" ca="1" si="16"/>
        <v>1.3860125385280764</v>
      </c>
      <c r="N49" s="304">
        <f t="shared" ca="1" si="17"/>
        <v>79.412668809872187</v>
      </c>
      <c r="P49" s="310">
        <f t="shared" ca="1" si="18"/>
        <v>10</v>
      </c>
      <c r="Q49" s="304">
        <f t="shared" ca="1" si="19"/>
        <v>66.099999999999994</v>
      </c>
      <c r="R49" s="306">
        <f t="shared" ca="1" si="20"/>
        <v>3.5829690505333099E-2</v>
      </c>
      <c r="S49" s="307">
        <f t="shared" ca="1" si="21"/>
        <v>0.44229130966952274</v>
      </c>
      <c r="T49" s="304">
        <f t="shared" ca="1" si="1"/>
        <v>4.3388777478580183</v>
      </c>
      <c r="U49" s="311">
        <f t="shared" ca="1" si="2"/>
        <v>0</v>
      </c>
      <c r="V49" s="306">
        <f t="shared" ca="1" si="3"/>
        <v>1.2234686853789478</v>
      </c>
      <c r="W49" s="304">
        <f t="shared" ca="1" si="4"/>
        <v>4.4550449427401677</v>
      </c>
      <c r="Y49" s="314" t="str">
        <f t="shared" ca="1" si="22"/>
        <v/>
      </c>
      <c r="Z49" s="315" t="str">
        <f t="shared" ca="1" si="23"/>
        <v/>
      </c>
      <c r="AA49" s="316" t="str">
        <f t="shared" ca="1" si="24"/>
        <v/>
      </c>
      <c r="AC49" s="310" t="e">
        <f t="shared" ca="1" si="25"/>
        <v>#N/A</v>
      </c>
      <c r="AD49" s="323" t="e">
        <f t="shared" ca="1" si="26"/>
        <v>#N/A</v>
      </c>
      <c r="AE49" s="324">
        <f t="shared" ca="1" si="5"/>
        <v>12.508345564693073</v>
      </c>
      <c r="AG49" s="306">
        <f t="shared" ca="1" si="27"/>
        <v>130.17427207623254</v>
      </c>
      <c r="AH49" s="304">
        <f t="shared" ca="1" si="28"/>
        <v>139.81781898134909</v>
      </c>
    </row>
    <row r="50" spans="1:34" x14ac:dyDescent="0.3">
      <c r="A50" s="347">
        <f t="shared" ca="1" si="6"/>
        <v>0.01</v>
      </c>
      <c r="B50" s="304">
        <f t="shared" ca="1" si="7"/>
        <v>0.46000000000000024</v>
      </c>
      <c r="D50" s="306">
        <f t="shared" ca="1" si="8"/>
        <v>25.545727010377618</v>
      </c>
      <c r="E50" s="307">
        <f t="shared" ca="1" si="9"/>
        <v>126.85950912362793</v>
      </c>
      <c r="F50" s="304">
        <f t="shared" ca="1" si="10"/>
        <v>129.40602468037019</v>
      </c>
      <c r="G50" s="306">
        <f t="shared" ca="1" si="11"/>
        <v>11.035467331713411</v>
      </c>
      <c r="H50" s="307">
        <f t="shared" ca="1" si="12"/>
        <v>58.941593901152736</v>
      </c>
      <c r="I50" s="304">
        <f t="shared" ca="1" si="13"/>
        <v>59.965765490300541</v>
      </c>
      <c r="J50" s="306">
        <f t="shared" ca="1" si="14"/>
        <v>2.3808944634353049</v>
      </c>
      <c r="K50" s="307">
        <f t="shared" ca="1" si="15"/>
        <v>13.091418528248418</v>
      </c>
      <c r="L50" s="304">
        <f t="shared" ca="1" si="0"/>
        <v>13.306160134606184</v>
      </c>
      <c r="M50" s="306">
        <f t="shared" ca="1" si="16"/>
        <v>1.3857119619207581</v>
      </c>
      <c r="N50" s="304">
        <f t="shared" ca="1" si="17"/>
        <v>79.395447038852481</v>
      </c>
      <c r="P50" s="310">
        <f t="shared" ca="1" si="18"/>
        <v>10</v>
      </c>
      <c r="Q50" s="304">
        <f t="shared" ca="1" si="19"/>
        <v>65.899999999999991</v>
      </c>
      <c r="R50" s="306">
        <f t="shared" ca="1" si="20"/>
        <v>3.5721279944046162E-2</v>
      </c>
      <c r="S50" s="307">
        <f t="shared" ca="1" si="21"/>
        <v>0.44193409687008228</v>
      </c>
      <c r="T50" s="304">
        <f t="shared" ca="1" si="1"/>
        <v>4.335373490295507</v>
      </c>
      <c r="U50" s="311">
        <f t="shared" ca="1" si="2"/>
        <v>0</v>
      </c>
      <c r="V50" s="306">
        <f t="shared" ca="1" si="3"/>
        <v>1.2233973502782027</v>
      </c>
      <c r="W50" s="304">
        <f t="shared" ca="1" si="4"/>
        <v>4.6534418488109166</v>
      </c>
      <c r="Y50" s="314" t="str">
        <f t="shared" ca="1" si="22"/>
        <v/>
      </c>
      <c r="Z50" s="315" t="str">
        <f t="shared" ca="1" si="23"/>
        <v/>
      </c>
      <c r="AA50" s="316" t="str">
        <f t="shared" ca="1" si="24"/>
        <v/>
      </c>
      <c r="AC50" s="310" t="e">
        <f t="shared" ca="1" si="25"/>
        <v>#N/A</v>
      </c>
      <c r="AD50" s="323" t="e">
        <f t="shared" ca="1" si="26"/>
        <v>#N/A</v>
      </c>
      <c r="AE50" s="324">
        <f t="shared" ca="1" si="5"/>
        <v>13.091418528248418</v>
      </c>
      <c r="AG50" s="306">
        <f t="shared" ca="1" si="27"/>
        <v>129.39347150255207</v>
      </c>
      <c r="AH50" s="304">
        <f t="shared" ca="1" si="28"/>
        <v>139.0364660532702</v>
      </c>
    </row>
    <row r="51" spans="1:34" x14ac:dyDescent="0.3">
      <c r="A51" s="347">
        <f t="shared" ca="1" si="6"/>
        <v>0.01</v>
      </c>
      <c r="B51" s="304">
        <f t="shared" ca="1" si="7"/>
        <v>0.47000000000000025</v>
      </c>
      <c r="D51" s="306">
        <f t="shared" ca="1" si="8"/>
        <v>25.44140747303495</v>
      </c>
      <c r="E51" s="307">
        <f t="shared" ca="1" si="9"/>
        <v>126.0752382481341</v>
      </c>
      <c r="F51" s="304">
        <f t="shared" ca="1" si="10"/>
        <v>128.61660434614487</v>
      </c>
      <c r="G51" s="306">
        <f t="shared" ca="1" si="11"/>
        <v>11.28988140644376</v>
      </c>
      <c r="H51" s="307">
        <f t="shared" ca="1" si="12"/>
        <v>60.202346283634078</v>
      </c>
      <c r="I51" s="304">
        <f t="shared" ca="1" si="13"/>
        <v>61.25180748538083</v>
      </c>
      <c r="J51" s="306">
        <f t="shared" ca="1" si="14"/>
        <v>2.4925212071260909</v>
      </c>
      <c r="K51" s="307">
        <f t="shared" ca="1" si="15"/>
        <v>13.687138229172353</v>
      </c>
      <c r="L51" s="304">
        <f t="shared" ca="1" si="0"/>
        <v>13.912239750394061</v>
      </c>
      <c r="M51" s="306">
        <f t="shared" ca="1" si="16"/>
        <v>1.3854172230249009</v>
      </c>
      <c r="N51" s="304">
        <f t="shared" ca="1" si="17"/>
        <v>79.378559744061519</v>
      </c>
      <c r="P51" s="310">
        <f t="shared" ca="1" si="18"/>
        <v>10</v>
      </c>
      <c r="Q51" s="304">
        <f t="shared" ca="1" si="19"/>
        <v>65.699999999999989</v>
      </c>
      <c r="R51" s="306">
        <f t="shared" ca="1" si="20"/>
        <v>3.5612869382759219E-2</v>
      </c>
      <c r="S51" s="307">
        <f t="shared" ca="1" si="21"/>
        <v>0.44157796817625466</v>
      </c>
      <c r="T51" s="304">
        <f t="shared" ca="1" si="1"/>
        <v>4.3318798678090582</v>
      </c>
      <c r="U51" s="311">
        <f t="shared" ca="1" si="2"/>
        <v>0</v>
      </c>
      <c r="V51" s="306">
        <f t="shared" ca="1" si="3"/>
        <v>1.2233244722259391</v>
      </c>
      <c r="W51" s="304">
        <f t="shared" ca="1" si="4"/>
        <v>4.8548908805756446</v>
      </c>
      <c r="Y51" s="314" t="str">
        <f t="shared" ca="1" si="22"/>
        <v/>
      </c>
      <c r="Z51" s="315" t="str">
        <f t="shared" ca="1" si="23"/>
        <v/>
      </c>
      <c r="AA51" s="316" t="str">
        <f t="shared" ca="1" si="24"/>
        <v/>
      </c>
      <c r="AC51" s="310" t="e">
        <f t="shared" ca="1" si="25"/>
        <v>#N/A</v>
      </c>
      <c r="AD51" s="323" t="e">
        <f t="shared" ca="1" si="26"/>
        <v>#N/A</v>
      </c>
      <c r="AE51" s="324">
        <f t="shared" ca="1" si="5"/>
        <v>13.687138229172353</v>
      </c>
      <c r="AG51" s="306">
        <f t="shared" ca="1" si="27"/>
        <v>128.60393345769052</v>
      </c>
      <c r="AH51" s="304">
        <f t="shared" ca="1" si="28"/>
        <v>138.24638580433546</v>
      </c>
    </row>
    <row r="52" spans="1:34" x14ac:dyDescent="0.3">
      <c r="A52" s="347">
        <f t="shared" ca="1" si="6"/>
        <v>0.01</v>
      </c>
      <c r="B52" s="304">
        <f t="shared" ca="1" si="7"/>
        <v>0.48000000000000026</v>
      </c>
      <c r="D52" s="306">
        <f t="shared" ca="1" si="8"/>
        <v>25.334257760920721</v>
      </c>
      <c r="E52" s="307">
        <f t="shared" ca="1" si="9"/>
        <v>125.28280599628692</v>
      </c>
      <c r="F52" s="304">
        <f t="shared" ca="1" si="10"/>
        <v>127.81864533236158</v>
      </c>
      <c r="G52" s="306">
        <f t="shared" ca="1" si="11"/>
        <v>11.543223984052966</v>
      </c>
      <c r="H52" s="307">
        <f t="shared" ca="1" si="12"/>
        <v>61.455174343596944</v>
      </c>
      <c r="I52" s="304">
        <f t="shared" ca="1" si="13"/>
        <v>62.529868651292652</v>
      </c>
      <c r="J52" s="306">
        <f t="shared" ca="1" si="14"/>
        <v>2.6066867340785747</v>
      </c>
      <c r="K52" s="307">
        <f t="shared" ca="1" si="15"/>
        <v>14.295425832308508</v>
      </c>
      <c r="L52" s="304">
        <f t="shared" ca="1" si="0"/>
        <v>14.531139509916441</v>
      </c>
      <c r="M52" s="306">
        <f t="shared" ca="1" si="16"/>
        <v>1.3851280538684458</v>
      </c>
      <c r="N52" s="304">
        <f t="shared" ca="1" si="17"/>
        <v>79.361991571831282</v>
      </c>
      <c r="P52" s="310">
        <f t="shared" ca="1" si="18"/>
        <v>10</v>
      </c>
      <c r="Q52" s="304">
        <f t="shared" ca="1" si="19"/>
        <v>65.5</v>
      </c>
      <c r="R52" s="306">
        <f t="shared" ca="1" si="20"/>
        <v>3.5504458821472289E-2</v>
      </c>
      <c r="S52" s="307">
        <f t="shared" ca="1" si="21"/>
        <v>0.44122292358803994</v>
      </c>
      <c r="T52" s="304">
        <f t="shared" ca="1" si="1"/>
        <v>4.3283968803986719</v>
      </c>
      <c r="U52" s="311">
        <f t="shared" ca="1" si="2"/>
        <v>0</v>
      </c>
      <c r="V52" s="306">
        <f t="shared" ca="1" si="3"/>
        <v>1.2232500611416004</v>
      </c>
      <c r="W52" s="304">
        <f t="shared" ca="1" si="4"/>
        <v>5.0592981144737301</v>
      </c>
      <c r="Y52" s="314" t="str">
        <f t="shared" ca="1" si="22"/>
        <v/>
      </c>
      <c r="Z52" s="315" t="str">
        <f t="shared" ca="1" si="23"/>
        <v/>
      </c>
      <c r="AA52" s="316" t="str">
        <f t="shared" ca="1" si="24"/>
        <v/>
      </c>
      <c r="AC52" s="310" t="e">
        <f t="shared" ca="1" si="25"/>
        <v>#N/A</v>
      </c>
      <c r="AD52" s="323" t="e">
        <f t="shared" ca="1" si="26"/>
        <v>#N/A</v>
      </c>
      <c r="AE52" s="324">
        <f t="shared" ca="1" si="5"/>
        <v>14.295425832308508</v>
      </c>
      <c r="AG52" s="306">
        <f t="shared" ca="1" si="27"/>
        <v>127.80585515755274</v>
      </c>
      <c r="AH52" s="304">
        <f t="shared" ca="1" si="28"/>
        <v>137.44777498470899</v>
      </c>
    </row>
    <row r="53" spans="1:34" x14ac:dyDescent="0.3">
      <c r="A53" s="347">
        <f t="shared" ca="1" si="6"/>
        <v>0.01</v>
      </c>
      <c r="B53" s="304">
        <f t="shared" ca="1" si="7"/>
        <v>0.49000000000000027</v>
      </c>
      <c r="D53" s="306">
        <f t="shared" ca="1" si="8"/>
        <v>25.224356970778611</v>
      </c>
      <c r="E53" s="307">
        <f t="shared" ca="1" si="9"/>
        <v>124.48240024155206</v>
      </c>
      <c r="F53" s="304">
        <f t="shared" ca="1" si="10"/>
        <v>127.0123464647718</v>
      </c>
      <c r="G53" s="306">
        <f t="shared" ca="1" si="11"/>
        <v>11.795467553760753</v>
      </c>
      <c r="H53" s="307">
        <f t="shared" ca="1" si="12"/>
        <v>62.699998346012464</v>
      </c>
      <c r="I53" s="304">
        <f t="shared" ca="1" si="13"/>
        <v>63.799865575107511</v>
      </c>
      <c r="J53" s="306">
        <f t="shared" ca="1" si="14"/>
        <v>2.7233801917676432</v>
      </c>
      <c r="K53" s="307">
        <f t="shared" ca="1" si="15"/>
        <v>14.916201695756556</v>
      </c>
      <c r="L53" s="304">
        <f t="shared" ca="1" si="0"/>
        <v>15.16277918778095</v>
      </c>
      <c r="M53" s="306">
        <f t="shared" ca="1" si="16"/>
        <v>1.3848442038963349</v>
      </c>
      <c r="N53" s="304">
        <f t="shared" ca="1" si="17"/>
        <v>79.345728166414418</v>
      </c>
      <c r="P53" s="310">
        <f t="shared" ca="1" si="18"/>
        <v>10</v>
      </c>
      <c r="Q53" s="304">
        <f t="shared" ca="1" si="19"/>
        <v>65.3</v>
      </c>
      <c r="R53" s="306">
        <f t="shared" ca="1" si="20"/>
        <v>3.5396048260185345E-2</v>
      </c>
      <c r="S53" s="307">
        <f t="shared" ca="1" si="21"/>
        <v>0.44086896310543811</v>
      </c>
      <c r="T53" s="304">
        <f t="shared" ca="1" si="1"/>
        <v>4.324924528064348</v>
      </c>
      <c r="U53" s="311">
        <f t="shared" ca="1" si="2"/>
        <v>0</v>
      </c>
      <c r="V53" s="306">
        <f t="shared" ca="1" si="3"/>
        <v>1.2231741270467322</v>
      </c>
      <c r="W53" s="304">
        <f t="shared" ca="1" si="4"/>
        <v>5.266569323122126</v>
      </c>
      <c r="Y53" s="314" t="str">
        <f t="shared" ca="1" si="22"/>
        <v/>
      </c>
      <c r="Z53" s="315" t="str">
        <f t="shared" ca="1" si="23"/>
        <v/>
      </c>
      <c r="AA53" s="316" t="str">
        <f t="shared" ca="1" si="24"/>
        <v/>
      </c>
      <c r="AC53" s="310" t="e">
        <f t="shared" ca="1" si="25"/>
        <v>#N/A</v>
      </c>
      <c r="AD53" s="323" t="e">
        <f t="shared" ca="1" si="26"/>
        <v>#N/A</v>
      </c>
      <c r="AE53" s="324">
        <f t="shared" ca="1" si="5"/>
        <v>14.916201695756556</v>
      </c>
      <c r="AG53" s="306">
        <f t="shared" ca="1" si="27"/>
        <v>126.99943536115578</v>
      </c>
      <c r="AH53" s="304">
        <f t="shared" ca="1" si="28"/>
        <v>136.6408319179391</v>
      </c>
    </row>
    <row r="54" spans="1:34" x14ac:dyDescent="0.3">
      <c r="A54" s="347">
        <f t="shared" ca="1" si="6"/>
        <v>0.01</v>
      </c>
      <c r="B54" s="304">
        <f t="shared" ca="1" si="7"/>
        <v>0.50000000000000022</v>
      </c>
      <c r="D54" s="306">
        <f t="shared" ca="1" si="8"/>
        <v>25.111781786497943</v>
      </c>
      <c r="E54" s="307">
        <f t="shared" ca="1" si="9"/>
        <v>123.67421071929837</v>
      </c>
      <c r="F54" s="304">
        <f t="shared" ca="1" si="10"/>
        <v>126.19790799190811</v>
      </c>
      <c r="G54" s="306">
        <f t="shared" ca="1" si="11"/>
        <v>12.046585371625733</v>
      </c>
      <c r="H54" s="307">
        <f t="shared" ca="1" si="12"/>
        <v>63.936740453205445</v>
      </c>
      <c r="I54" s="304">
        <f t="shared" ca="1" si="13"/>
        <v>65.061716845595342</v>
      </c>
      <c r="J54" s="306">
        <f t="shared" ca="1" si="14"/>
        <v>2.8425904563945759</v>
      </c>
      <c r="K54" s="307">
        <f t="shared" ca="1" si="15"/>
        <v>15.549385389752645</v>
      </c>
      <c r="L54" s="304">
        <f t="shared" ca="1" si="0"/>
        <v>15.807077734415003</v>
      </c>
      <c r="M54" s="306">
        <f t="shared" ca="1" si="16"/>
        <v>1.3845654384824055</v>
      </c>
      <c r="N54" s="304">
        <f t="shared" ca="1" si="17"/>
        <v>79.32975608472205</v>
      </c>
      <c r="P54" s="310">
        <f t="shared" ca="1" si="18"/>
        <v>10</v>
      </c>
      <c r="Q54" s="304">
        <f t="shared" ca="1" si="19"/>
        <v>65.099999999999994</v>
      </c>
      <c r="R54" s="306">
        <f t="shared" ca="1" si="20"/>
        <v>3.5287637698898408E-2</v>
      </c>
      <c r="S54" s="307">
        <f t="shared" ca="1" si="21"/>
        <v>0.44051608672844911</v>
      </c>
      <c r="T54" s="304">
        <f t="shared" ca="1" si="1"/>
        <v>4.3214628108060857</v>
      </c>
      <c r="U54" s="311">
        <f t="shared" ca="1" si="2"/>
        <v>0</v>
      </c>
      <c r="V54" s="306">
        <f t="shared" ca="1" si="3"/>
        <v>1.2230966800625167</v>
      </c>
      <c r="W54" s="304">
        <f t="shared" ca="1" si="4"/>
        <v>5.4766100294613231</v>
      </c>
      <c r="Y54" s="314" t="str">
        <f t="shared" ca="1" si="22"/>
        <v/>
      </c>
      <c r="Z54" s="315" t="str">
        <f t="shared" ca="1" si="23"/>
        <v/>
      </c>
      <c r="AA54" s="316" t="str">
        <f t="shared" ca="1" si="24"/>
        <v/>
      </c>
      <c r="AC54" s="310" t="e">
        <f t="shared" ca="1" si="25"/>
        <v>#N/A</v>
      </c>
      <c r="AD54" s="323" t="e">
        <f t="shared" ca="1" si="26"/>
        <v>#N/A</v>
      </c>
      <c r="AE54" s="324">
        <f t="shared" ca="1" si="5"/>
        <v>15.549385389752645</v>
      </c>
      <c r="AG54" s="306">
        <f t="shared" ca="1" si="27"/>
        <v>126.18487425097675</v>
      </c>
      <c r="AH54" s="304">
        <f t="shared" ca="1" si="28"/>
        <v>135.82575637870286</v>
      </c>
    </row>
    <row r="55" spans="1:34" x14ac:dyDescent="0.3">
      <c r="A55" s="347">
        <f t="shared" ca="1" si="6"/>
        <v>0.01</v>
      </c>
      <c r="B55" s="304">
        <f t="shared" ca="1" si="7"/>
        <v>0.51000000000000023</v>
      </c>
      <c r="D55" s="306">
        <f t="shared" ca="1" si="8"/>
        <v>24.996606695188554</v>
      </c>
      <c r="E55" s="307">
        <f t="shared" ca="1" si="9"/>
        <v>122.85842886827481</v>
      </c>
      <c r="F55" s="304">
        <f t="shared" ca="1" si="10"/>
        <v>125.37553146549325</v>
      </c>
      <c r="G55" s="306">
        <f t="shared" ca="1" si="11"/>
        <v>12.29655143857762</v>
      </c>
      <c r="H55" s="307">
        <f t="shared" ca="1" si="12"/>
        <v>65.165324741888199</v>
      </c>
      <c r="I55" s="304">
        <f t="shared" ca="1" si="13"/>
        <v>66.315343066271865</v>
      </c>
      <c r="J55" s="306">
        <f t="shared" ca="1" si="14"/>
        <v>2.9643061404455926</v>
      </c>
      <c r="K55" s="307">
        <f t="shared" ca="1" si="15"/>
        <v>16.194895715728112</v>
      </c>
      <c r="L55" s="304">
        <f t="shared" ca="1" si="0"/>
        <v>16.463953296143433</v>
      </c>
      <c r="M55" s="306">
        <f t="shared" ca="1" si="16"/>
        <v>1.3842915375973361</v>
      </c>
      <c r="N55" s="304">
        <f t="shared" ca="1" si="17"/>
        <v>79.314062720002681</v>
      </c>
      <c r="P55" s="310">
        <f t="shared" ca="1" si="18"/>
        <v>11</v>
      </c>
      <c r="Q55" s="304">
        <f t="shared" ca="1" si="19"/>
        <v>64.899999999999991</v>
      </c>
      <c r="R55" s="306">
        <f t="shared" ca="1" si="20"/>
        <v>3.5179227137611464E-2</v>
      </c>
      <c r="S55" s="307">
        <f t="shared" ca="1" si="21"/>
        <v>0.440164294457073</v>
      </c>
      <c r="T55" s="304">
        <f t="shared" ca="1" si="1"/>
        <v>4.3180117286238859</v>
      </c>
      <c r="U55" s="311">
        <f t="shared" ca="1" si="2"/>
        <v>0</v>
      </c>
      <c r="V55" s="306">
        <f t="shared" ca="1" si="3"/>
        <v>1.22301773040729</v>
      </c>
      <c r="W55" s="304">
        <f t="shared" ca="1" si="4"/>
        <v>5.6893255604977853</v>
      </c>
      <c r="Y55" s="314" t="str">
        <f t="shared" ca="1" si="22"/>
        <v/>
      </c>
      <c r="Z55" s="315" t="str">
        <f t="shared" ca="1" si="23"/>
        <v/>
      </c>
      <c r="AA55" s="316" t="str">
        <f t="shared" ca="1" si="24"/>
        <v/>
      </c>
      <c r="AC55" s="310" t="e">
        <f t="shared" ca="1" si="25"/>
        <v>#N/A</v>
      </c>
      <c r="AD55" s="323" t="e">
        <f t="shared" ca="1" si="26"/>
        <v>#N/A</v>
      </c>
      <c r="AE55" s="324">
        <f t="shared" ca="1" si="5"/>
        <v>16.194895715728112</v>
      </c>
      <c r="AG55" s="306">
        <f t="shared" ca="1" si="27"/>
        <v>125.36237331318145</v>
      </c>
      <c r="AH55" s="304">
        <f t="shared" ca="1" si="28"/>
        <v>135.00274947070685</v>
      </c>
    </row>
    <row r="56" spans="1:34" x14ac:dyDescent="0.3">
      <c r="A56" s="347">
        <f t="shared" ca="1" si="6"/>
        <v>0.01</v>
      </c>
      <c r="B56" s="304">
        <f t="shared" ca="1" si="7"/>
        <v>0.52000000000000024</v>
      </c>
      <c r="D56" s="306">
        <f t="shared" ca="1" si="8"/>
        <v>24.878904178047801</v>
      </c>
      <c r="E56" s="307">
        <f t="shared" ca="1" si="9"/>
        <v>122.03524767639558</v>
      </c>
      <c r="F56" s="304">
        <f t="shared" ca="1" si="10"/>
        <v>124.54541962087445</v>
      </c>
      <c r="G56" s="306">
        <f t="shared" ca="1" si="11"/>
        <v>12.545340480358098</v>
      </c>
      <c r="H56" s="307">
        <f t="shared" ca="1" si="12"/>
        <v>66.385677218652148</v>
      </c>
      <c r="I56" s="304">
        <f t="shared" ca="1" si="13"/>
        <v>67.56066686724742</v>
      </c>
      <c r="J56" s="306">
        <f t="shared" ca="1" si="14"/>
        <v>3.0885156000402714</v>
      </c>
      <c r="K56" s="307">
        <f t="shared" ca="1" si="15"/>
        <v>16.852650725530815</v>
      </c>
      <c r="L56" s="304">
        <f t="shared" ca="1" si="0"/>
        <v>17.133323235392087</v>
      </c>
      <c r="M56" s="306">
        <f t="shared" ca="1" si="16"/>
        <v>1.3840222946133689</v>
      </c>
      <c r="N56" s="304">
        <f t="shared" ca="1" si="17"/>
        <v>79.298636233357854</v>
      </c>
      <c r="P56" s="310">
        <f t="shared" ca="1" si="18"/>
        <v>11</v>
      </c>
      <c r="Q56" s="304">
        <f t="shared" ca="1" si="19"/>
        <v>64.699999999999989</v>
      </c>
      <c r="R56" s="306">
        <f t="shared" ca="1" si="20"/>
        <v>3.5070816576324527E-2</v>
      </c>
      <c r="S56" s="307">
        <f t="shared" ca="1" si="21"/>
        <v>0.43981358629130973</v>
      </c>
      <c r="T56" s="304">
        <f t="shared" ca="1" si="1"/>
        <v>4.3145712815177486</v>
      </c>
      <c r="U56" s="311">
        <f t="shared" ca="1" si="2"/>
        <v>0</v>
      </c>
      <c r="V56" s="306">
        <f t="shared" ca="1" si="3"/>
        <v>1.2229372883940348</v>
      </c>
      <c r="W56" s="304">
        <f t="shared" ca="1" si="4"/>
        <v>5.9046211005930349</v>
      </c>
      <c r="Y56" s="314" t="str">
        <f t="shared" ca="1" si="22"/>
        <v/>
      </c>
      <c r="Z56" s="315" t="str">
        <f t="shared" ca="1" si="23"/>
        <v/>
      </c>
      <c r="AA56" s="316" t="str">
        <f t="shared" ca="1" si="24"/>
        <v/>
      </c>
      <c r="AC56" s="310" t="e">
        <f t="shared" ca="1" si="25"/>
        <v>#N/A</v>
      </c>
      <c r="AD56" s="323" t="e">
        <f t="shared" ca="1" si="26"/>
        <v>#N/A</v>
      </c>
      <c r="AE56" s="324">
        <f t="shared" ca="1" si="5"/>
        <v>16.852650725530815</v>
      </c>
      <c r="AG56" s="306">
        <f t="shared" ca="1" si="27"/>
        <v>124.5321352178923</v>
      </c>
      <c r="AH56" s="304">
        <f t="shared" ca="1" si="28"/>
        <v>134.17201350486837</v>
      </c>
    </row>
    <row r="57" spans="1:34" x14ac:dyDescent="0.3">
      <c r="A57" s="347">
        <f t="shared" ca="1" si="6"/>
        <v>0.01</v>
      </c>
      <c r="B57" s="304">
        <f t="shared" ca="1" si="7"/>
        <v>0.53000000000000025</v>
      </c>
      <c r="D57" s="306">
        <f t="shared" ca="1" si="8"/>
        <v>24.758744879155699</v>
      </c>
      <c r="E57" s="307">
        <f t="shared" ca="1" si="9"/>
        <v>121.20486153045968</v>
      </c>
      <c r="F57" s="304">
        <f t="shared" ca="1" si="10"/>
        <v>123.70777625763476</v>
      </c>
      <c r="G57" s="306">
        <f t="shared" ca="1" si="11"/>
        <v>12.792927929149654</v>
      </c>
      <c r="H57" s="307">
        <f t="shared" ca="1" si="12"/>
        <v>67.597725833956744</v>
      </c>
      <c r="I57" s="304">
        <f t="shared" ca="1" si="13"/>
        <v>68.797612915879583</v>
      </c>
      <c r="J57" s="306">
        <f t="shared" ca="1" si="14"/>
        <v>3.2152069420878102</v>
      </c>
      <c r="K57" s="307">
        <f t="shared" ca="1" si="15"/>
        <v>17.52256774079386</v>
      </c>
      <c r="L57" s="304">
        <f t="shared" ca="1" si="0"/>
        <v>17.815104151005105</v>
      </c>
      <c r="M57" s="306">
        <f t="shared" ca="1" si="16"/>
        <v>1.3837575152292672</v>
      </c>
      <c r="N57" s="304">
        <f t="shared" ca="1" si="17"/>
        <v>79.283465492146746</v>
      </c>
      <c r="P57" s="310">
        <f t="shared" ca="1" si="18"/>
        <v>11</v>
      </c>
      <c r="Q57" s="304">
        <f t="shared" ca="1" si="19"/>
        <v>64.5</v>
      </c>
      <c r="R57" s="306">
        <f t="shared" ca="1" si="20"/>
        <v>3.4962406015037598E-2</v>
      </c>
      <c r="S57" s="307">
        <f t="shared" ca="1" si="21"/>
        <v>0.43946396223115936</v>
      </c>
      <c r="T57" s="304">
        <f t="shared" ca="1" si="1"/>
        <v>4.3111414694876737</v>
      </c>
      <c r="U57" s="311">
        <f t="shared" ca="1" si="2"/>
        <v>0</v>
      </c>
      <c r="V57" s="306">
        <f t="shared" ca="1" si="3"/>
        <v>1.2228553644278575</v>
      </c>
      <c r="W57" s="304">
        <f t="shared" ca="1" si="4"/>
        <v>6.1224017442510688</v>
      </c>
      <c r="Y57" s="314" t="str">
        <f t="shared" ca="1" si="22"/>
        <v/>
      </c>
      <c r="Z57" s="315" t="str">
        <f t="shared" ca="1" si="23"/>
        <v/>
      </c>
      <c r="AA57" s="316" t="str">
        <f t="shared" ca="1" si="24"/>
        <v/>
      </c>
      <c r="AC57" s="310" t="e">
        <f t="shared" ca="1" si="25"/>
        <v>#N/A</v>
      </c>
      <c r="AD57" s="323" t="e">
        <f t="shared" ca="1" si="26"/>
        <v>#N/A</v>
      </c>
      <c r="AE57" s="324">
        <f t="shared" ca="1" si="5"/>
        <v>17.52256774079386</v>
      </c>
      <c r="AG57" s="306">
        <f t="shared" ca="1" si="27"/>
        <v>123.69436369964498</v>
      </c>
      <c r="AH57" s="304">
        <f t="shared" ca="1" si="28"/>
        <v>133.33375187789716</v>
      </c>
    </row>
    <row r="58" spans="1:34" x14ac:dyDescent="0.3">
      <c r="A58" s="347">
        <f t="shared" ca="1" si="6"/>
        <v>0.01</v>
      </c>
      <c r="B58" s="304">
        <f t="shared" ca="1" si="7"/>
        <v>0.54000000000000026</v>
      </c>
      <c r="D58" s="306">
        <f t="shared" ca="1" si="8"/>
        <v>24.636197754893431</v>
      </c>
      <c r="E58" s="307">
        <f t="shared" ca="1" si="9"/>
        <v>120.36746606949907</v>
      </c>
      <c r="F58" s="304">
        <f t="shared" ca="1" si="10"/>
        <v>122.86280612052708</v>
      </c>
      <c r="G58" s="306">
        <f t="shared" ca="1" si="11"/>
        <v>13.039289906698588</v>
      </c>
      <c r="H58" s="307">
        <f t="shared" ca="1" si="12"/>
        <v>68.80140049465173</v>
      </c>
      <c r="I58" s="304">
        <f t="shared" ca="1" si="13"/>
        <v>70.026107926232726</v>
      </c>
      <c r="J58" s="306">
        <f t="shared" ca="1" si="14"/>
        <v>3.3443680312670514</v>
      </c>
      <c r="K58" s="307">
        <f t="shared" ca="1" si="15"/>
        <v>18.204563372436901</v>
      </c>
      <c r="L58" s="304">
        <f t="shared" ca="1" si="0"/>
        <v>18.509211898663654</v>
      </c>
      <c r="M58" s="306">
        <f t="shared" ca="1" si="16"/>
        <v>1.3834970165012497</v>
      </c>
      <c r="N58" s="304">
        <f t="shared" ca="1" si="17"/>
        <v>79.268540014462815</v>
      </c>
      <c r="P58" s="310">
        <f t="shared" ca="1" si="18"/>
        <v>11</v>
      </c>
      <c r="Q58" s="304">
        <f t="shared" ca="1" si="19"/>
        <v>64.3</v>
      </c>
      <c r="R58" s="306">
        <f t="shared" ca="1" si="20"/>
        <v>3.4853995453750654E-2</v>
      </c>
      <c r="S58" s="307">
        <f t="shared" ca="1" si="21"/>
        <v>0.43911542227662187</v>
      </c>
      <c r="T58" s="304">
        <f t="shared" ca="1" si="1"/>
        <v>4.3077222925336605</v>
      </c>
      <c r="U58" s="311">
        <f t="shared" ca="1" si="2"/>
        <v>0</v>
      </c>
      <c r="V58" s="306">
        <f t="shared" ca="1" si="3"/>
        <v>1.22277196900345</v>
      </c>
      <c r="W58" s="304">
        <f t="shared" ca="1" si="4"/>
        <v>6.3425725483569817</v>
      </c>
      <c r="Y58" s="314" t="str">
        <f t="shared" ca="1" si="22"/>
        <v/>
      </c>
      <c r="Z58" s="315" t="str">
        <f t="shared" ca="1" si="23"/>
        <v/>
      </c>
      <c r="AA58" s="316" t="str">
        <f t="shared" ca="1" si="24"/>
        <v/>
      </c>
      <c r="AC58" s="310" t="e">
        <f t="shared" ca="1" si="25"/>
        <v>#N/A</v>
      </c>
      <c r="AD58" s="323" t="e">
        <f t="shared" ca="1" si="26"/>
        <v>#N/A</v>
      </c>
      <c r="AE58" s="324">
        <f t="shared" ca="1" si="5"/>
        <v>18.204563372436901</v>
      </c>
      <c r="AG58" s="306">
        <f t="shared" ca="1" si="27"/>
        <v>122.84926343817848</v>
      </c>
      <c r="AH58" s="304">
        <f t="shared" ca="1" si="28"/>
        <v>132.48816895139657</v>
      </c>
    </row>
    <row r="59" spans="1:34" x14ac:dyDescent="0.3">
      <c r="A59" s="347">
        <f t="shared" ca="1" si="6"/>
        <v>0.01</v>
      </c>
      <c r="B59" s="304">
        <f t="shared" ca="1" si="7"/>
        <v>0.55000000000000027</v>
      </c>
      <c r="D59" s="306">
        <f t="shared" ca="1" si="8"/>
        <v>24.511330206310902</v>
      </c>
      <c r="E59" s="307">
        <f t="shared" ca="1" si="9"/>
        <v>119.52325804150578</v>
      </c>
      <c r="F59" s="304">
        <f t="shared" ca="1" si="10"/>
        <v>122.01071478087155</v>
      </c>
      <c r="G59" s="306">
        <f t="shared" ca="1" si="11"/>
        <v>13.284403208761697</v>
      </c>
      <c r="H59" s="307">
        <f t="shared" ca="1" si="12"/>
        <v>69.996633075066782</v>
      </c>
      <c r="I59" s="304">
        <f t="shared" ca="1" si="13"/>
        <v>71.246080667349631</v>
      </c>
      <c r="J59" s="306">
        <f t="shared" ca="1" si="14"/>
        <v>3.475986496844353</v>
      </c>
      <c r="K59" s="307">
        <f t="shared" ca="1" si="15"/>
        <v>18.898553540285494</v>
      </c>
      <c r="L59" s="304">
        <f t="shared" ca="1" si="0"/>
        <v>19.215561611394076</v>
      </c>
      <c r="M59" s="306">
        <f t="shared" ca="1" si="16"/>
        <v>1.3832406259675873</v>
      </c>
      <c r="N59" s="304">
        <f t="shared" ca="1" si="17"/>
        <v>79.253849918976854</v>
      </c>
      <c r="P59" s="310">
        <f t="shared" ca="1" si="18"/>
        <v>11</v>
      </c>
      <c r="Q59" s="304">
        <f t="shared" ca="1" si="19"/>
        <v>64.099999999999994</v>
      </c>
      <c r="R59" s="306">
        <f t="shared" ca="1" si="20"/>
        <v>3.4745584892463717E-2</v>
      </c>
      <c r="S59" s="307">
        <f t="shared" ca="1" si="21"/>
        <v>0.43876796642769722</v>
      </c>
      <c r="T59" s="304">
        <f t="shared" ca="1" si="1"/>
        <v>4.3043137506557096</v>
      </c>
      <c r="U59" s="311">
        <f t="shared" ca="1" si="2"/>
        <v>0</v>
      </c>
      <c r="V59" s="306">
        <f t="shared" ca="1" si="3"/>
        <v>1.222687112702536</v>
      </c>
      <c r="W59" s="304">
        <f t="shared" ca="1" si="4"/>
        <v>6.5650385838211722</v>
      </c>
      <c r="Y59" s="314" t="str">
        <f t="shared" ca="1" si="22"/>
        <v/>
      </c>
      <c r="Z59" s="315" t="str">
        <f t="shared" ca="1" si="23"/>
        <v/>
      </c>
      <c r="AA59" s="316" t="str">
        <f t="shared" ca="1" si="24"/>
        <v/>
      </c>
      <c r="AC59" s="310" t="e">
        <f t="shared" ca="1" si="25"/>
        <v>#N/A</v>
      </c>
      <c r="AD59" s="323" t="e">
        <f t="shared" ca="1" si="26"/>
        <v>#N/A</v>
      </c>
      <c r="AE59" s="324">
        <f t="shared" ca="1" si="5"/>
        <v>18.898553540285494</v>
      </c>
      <c r="AG59" s="306">
        <f t="shared" ca="1" si="27"/>
        <v>121.997039939697</v>
      </c>
      <c r="AH59" s="304">
        <f t="shared" ca="1" si="28"/>
        <v>131.63546993160136</v>
      </c>
    </row>
    <row r="60" spans="1:34" x14ac:dyDescent="0.3">
      <c r="A60" s="347">
        <f t="shared" ca="1" si="6"/>
        <v>0.01</v>
      </c>
      <c r="B60" s="304">
        <f t="shared" ca="1" si="7"/>
        <v>0.56000000000000028</v>
      </c>
      <c r="D60" s="306">
        <f t="shared" ca="1" si="8"/>
        <v>24.384208196454924</v>
      </c>
      <c r="E60" s="307">
        <f t="shared" ca="1" si="9"/>
        <v>118.67243516333252</v>
      </c>
      <c r="F60" s="304">
        <f t="shared" ca="1" si="10"/>
        <v>121.15170851854886</v>
      </c>
      <c r="G60" s="306">
        <f t="shared" ca="1" si="11"/>
        <v>13.528245290726247</v>
      </c>
      <c r="H60" s="307">
        <f t="shared" ca="1" si="12"/>
        <v>71.183357426700113</v>
      </c>
      <c r="I60" s="304">
        <f t="shared" ca="1" si="13"/>
        <v>72.457461970340916</v>
      </c>
      <c r="J60" s="306">
        <f t="shared" ca="1" si="14"/>
        <v>3.6100497393417927</v>
      </c>
      <c r="K60" s="307">
        <f t="shared" ca="1" si="15"/>
        <v>19.604453492794327</v>
      </c>
      <c r="L60" s="304">
        <f t="shared" ca="1" si="0"/>
        <v>19.934067720153294</v>
      </c>
      <c r="M60" s="306">
        <f t="shared" ca="1" si="16"/>
        <v>1.3829881808561824</v>
      </c>
      <c r="N60" s="304">
        <f t="shared" ca="1" si="17"/>
        <v>79.239385879534638</v>
      </c>
      <c r="P60" s="310">
        <f t="shared" ca="1" si="18"/>
        <v>11</v>
      </c>
      <c r="Q60" s="304">
        <f t="shared" ca="1" si="19"/>
        <v>63.899999999999991</v>
      </c>
      <c r="R60" s="306">
        <f t="shared" ca="1" si="20"/>
        <v>3.4637174331176773E-2</v>
      </c>
      <c r="S60" s="307">
        <f t="shared" ca="1" si="21"/>
        <v>0.43842159468438546</v>
      </c>
      <c r="T60" s="304">
        <f t="shared" ca="1" si="1"/>
        <v>4.3009158438538213</v>
      </c>
      <c r="U60" s="311">
        <f t="shared" ca="1" si="2"/>
        <v>0</v>
      </c>
      <c r="V60" s="306">
        <f t="shared" ca="1" si="3"/>
        <v>1.222600806191305</v>
      </c>
      <c r="W60" s="304">
        <f t="shared" ca="1" si="4"/>
        <v>6.7897049865848613</v>
      </c>
      <c r="Y60" s="314" t="str">
        <f t="shared" ca="1" si="22"/>
        <v/>
      </c>
      <c r="Z60" s="315" t="str">
        <f t="shared" ca="1" si="23"/>
        <v/>
      </c>
      <c r="AA60" s="316" t="str">
        <f t="shared" ca="1" si="24"/>
        <v/>
      </c>
      <c r="AC60" s="310" t="e">
        <f t="shared" ca="1" si="25"/>
        <v>#N/A</v>
      </c>
      <c r="AD60" s="323" t="e">
        <f t="shared" ca="1" si="26"/>
        <v>#N/A</v>
      </c>
      <c r="AE60" s="324">
        <f t="shared" ca="1" si="5"/>
        <v>19.604453492794327</v>
      </c>
      <c r="AG60" s="306">
        <f t="shared" ca="1" si="27"/>
        <v>121.13789941873581</v>
      </c>
      <c r="AH60" s="304">
        <f t="shared" ca="1" si="28"/>
        <v>130.77586074986471</v>
      </c>
    </row>
    <row r="61" spans="1:34" x14ac:dyDescent="0.3">
      <c r="A61" s="347">
        <f t="shared" ca="1" si="6"/>
        <v>0.01</v>
      </c>
      <c r="B61" s="304">
        <f t="shared" ca="1" si="7"/>
        <v>0.57000000000000028</v>
      </c>
      <c r="D61" s="306">
        <f t="shared" ca="1" si="8"/>
        <v>24.25489635440541</v>
      </c>
      <c r="E61" s="307">
        <f t="shared" ca="1" si="9"/>
        <v>117.81519598360408</v>
      </c>
      <c r="F61" s="304">
        <f t="shared" ca="1" si="10"/>
        <v>120.28599420472023</v>
      </c>
      <c r="G61" s="306">
        <f t="shared" ca="1" si="11"/>
        <v>13.770794254270301</v>
      </c>
      <c r="H61" s="307">
        <f t="shared" ca="1" si="12"/>
        <v>72.361509386536156</v>
      </c>
      <c r="I61" s="304">
        <f t="shared" ca="1" si="13"/>
        <v>73.660184734300003</v>
      </c>
      <c r="J61" s="306">
        <f t="shared" ca="1" si="14"/>
        <v>3.7465449370667754</v>
      </c>
      <c r="K61" s="307">
        <f t="shared" ca="1" si="15"/>
        <v>20.322177826860507</v>
      </c>
      <c r="L61" s="304">
        <f t="shared" ca="1" si="0"/>
        <v>20.664643974479734</v>
      </c>
      <c r="M61" s="306">
        <f t="shared" ca="1" si="16"/>
        <v>1.3827395273658487</v>
      </c>
      <c r="N61" s="304">
        <f t="shared" ca="1" si="17"/>
        <v>79.225139083977325</v>
      </c>
      <c r="P61" s="310">
        <f t="shared" ca="1" si="18"/>
        <v>11</v>
      </c>
      <c r="Q61" s="304">
        <f t="shared" ca="1" si="19"/>
        <v>63.699999999999996</v>
      </c>
      <c r="R61" s="306">
        <f t="shared" ca="1" si="20"/>
        <v>3.4528763769889843E-2</v>
      </c>
      <c r="S61" s="307">
        <f t="shared" ca="1" si="21"/>
        <v>0.43807630704668654</v>
      </c>
      <c r="T61" s="304">
        <f t="shared" ca="1" si="1"/>
        <v>4.2975285721279954</v>
      </c>
      <c r="U61" s="311">
        <f t="shared" ca="1" si="2"/>
        <v>0</v>
      </c>
      <c r="V61" s="306">
        <f t="shared" ca="1" si="3"/>
        <v>1.2225130602178347</v>
      </c>
      <c r="W61" s="304">
        <f t="shared" ca="1" si="4"/>
        <v>7.0164770079442444</v>
      </c>
      <c r="Y61" s="314" t="str">
        <f t="shared" ca="1" si="22"/>
        <v/>
      </c>
      <c r="Z61" s="315" t="str">
        <f t="shared" ca="1" si="23"/>
        <v/>
      </c>
      <c r="AA61" s="316" t="str">
        <f t="shared" ca="1" si="24"/>
        <v/>
      </c>
      <c r="AC61" s="310" t="e">
        <f t="shared" ca="1" si="25"/>
        <v>#N/A</v>
      </c>
      <c r="AD61" s="323" t="e">
        <f t="shared" ca="1" si="26"/>
        <v>#N/A</v>
      </c>
      <c r="AE61" s="324">
        <f t="shared" ca="1" si="5"/>
        <v>20.322177826860507</v>
      </c>
      <c r="AG61" s="306">
        <f t="shared" ca="1" si="27"/>
        <v>120.27204868075991</v>
      </c>
      <c r="AH61" s="304">
        <f t="shared" ca="1" si="28"/>
        <v>129.90954794400719</v>
      </c>
    </row>
    <row r="62" spans="1:34" x14ac:dyDescent="0.3">
      <c r="A62" s="347">
        <f t="shared" ca="1" si="6"/>
        <v>0.01</v>
      </c>
      <c r="B62" s="304">
        <f t="shared" ca="1" si="7"/>
        <v>0.58000000000000029</v>
      </c>
      <c r="D62" s="306">
        <f t="shared" ca="1" si="8"/>
        <v>24.123458067540284</v>
      </c>
      <c r="E62" s="307">
        <f t="shared" ca="1" si="9"/>
        <v>116.9517397485056</v>
      </c>
      <c r="F62" s="304">
        <f t="shared" ca="1" si="10"/>
        <v>119.41377918539619</v>
      </c>
      <c r="G62" s="306">
        <f t="shared" ca="1" si="11"/>
        <v>14.012028834945705</v>
      </c>
      <c r="H62" s="307">
        <f t="shared" ca="1" si="12"/>
        <v>73.531026784021208</v>
      </c>
      <c r="I62" s="304">
        <f t="shared" ca="1" si="13"/>
        <v>74.854183931052205</v>
      </c>
      <c r="J62" s="306">
        <f t="shared" ca="1" si="14"/>
        <v>3.8854590525128554</v>
      </c>
      <c r="K62" s="307">
        <f t="shared" ca="1" si="15"/>
        <v>21.051640507713294</v>
      </c>
      <c r="L62" s="304">
        <f t="shared" ca="1" si="0"/>
        <v>21.407203463197835</v>
      </c>
      <c r="M62" s="306">
        <f t="shared" ca="1" si="16"/>
        <v>1.3824945200132033</v>
      </c>
      <c r="N62" s="304">
        <f t="shared" ca="1" si="17"/>
        <v>79.211101196721074</v>
      </c>
      <c r="P62" s="310">
        <f t="shared" ca="1" si="18"/>
        <v>11</v>
      </c>
      <c r="Q62" s="304">
        <f t="shared" ca="1" si="19"/>
        <v>63.499999999999993</v>
      </c>
      <c r="R62" s="306">
        <f t="shared" ca="1" si="20"/>
        <v>3.44203532086029E-2</v>
      </c>
      <c r="S62" s="307">
        <f t="shared" ca="1" si="21"/>
        <v>0.43773210351460051</v>
      </c>
      <c r="T62" s="304">
        <f t="shared" ca="1" si="1"/>
        <v>4.2941519354782312</v>
      </c>
      <c r="U62" s="311">
        <f t="shared" ca="1" si="2"/>
        <v>0</v>
      </c>
      <c r="V62" s="306">
        <f t="shared" ca="1" si="3"/>
        <v>1.2224238856095078</v>
      </c>
      <c r="W62" s="304">
        <f t="shared" ca="1" si="4"/>
        <v>7.2452600641521663</v>
      </c>
      <c r="Y62" s="314" t="str">
        <f t="shared" ca="1" si="22"/>
        <v/>
      </c>
      <c r="Z62" s="315" t="str">
        <f t="shared" ca="1" si="23"/>
        <v/>
      </c>
      <c r="AA62" s="316" t="str">
        <f t="shared" ca="1" si="24"/>
        <v/>
      </c>
      <c r="AC62" s="310" t="e">
        <f t="shared" ca="1" si="25"/>
        <v>#N/A</v>
      </c>
      <c r="AD62" s="323" t="e">
        <f t="shared" ca="1" si="26"/>
        <v>#N/A</v>
      </c>
      <c r="AE62" s="324">
        <f t="shared" ca="1" si="5"/>
        <v>21.051640507713294</v>
      </c>
      <c r="AG62" s="306">
        <f t="shared" ca="1" si="27"/>
        <v>119.39969500561712</v>
      </c>
      <c r="AH62" s="304">
        <f t="shared" ca="1" si="28"/>
        <v>129.03673854063516</v>
      </c>
    </row>
    <row r="63" spans="1:34" x14ac:dyDescent="0.3">
      <c r="A63" s="347">
        <f t="shared" ca="1" si="6"/>
        <v>0.01</v>
      </c>
      <c r="B63" s="304">
        <f t="shared" ca="1" si="7"/>
        <v>0.5900000000000003</v>
      </c>
      <c r="D63" s="306">
        <f t="shared" ca="1" si="8"/>
        <v>23.989955563357626</v>
      </c>
      <c r="E63" s="307">
        <f t="shared" ca="1" si="9"/>
        <v>116.08226627034442</v>
      </c>
      <c r="F63" s="304">
        <f t="shared" ca="1" si="10"/>
        <v>118.53527116597412</v>
      </c>
      <c r="G63" s="306">
        <f t="shared" ca="1" si="11"/>
        <v>14.25192839057928</v>
      </c>
      <c r="H63" s="307">
        <f t="shared" ca="1" si="12"/>
        <v>74.691849446724646</v>
      </c>
      <c r="I63" s="304">
        <f t="shared" ca="1" si="13"/>
        <v>76.039396608747367</v>
      </c>
      <c r="J63" s="306">
        <f t="shared" ca="1" si="14"/>
        <v>4.0267788386404799</v>
      </c>
      <c r="K63" s="307">
        <f t="shared" ca="1" si="15"/>
        <v>21.792754888867023</v>
      </c>
      <c r="L63" s="304">
        <f t="shared" ca="1" si="0"/>
        <v>22.161658635164478</v>
      </c>
      <c r="M63" s="306">
        <f t="shared" ca="1" si="16"/>
        <v>1.3822530210380941</v>
      </c>
      <c r="N63" s="304">
        <f t="shared" ca="1" si="17"/>
        <v>79.197264324690579</v>
      </c>
      <c r="P63" s="310">
        <f t="shared" ca="1" si="18"/>
        <v>11</v>
      </c>
      <c r="Q63" s="304">
        <f t="shared" ca="1" si="19"/>
        <v>63.3</v>
      </c>
      <c r="R63" s="306">
        <f t="shared" ca="1" si="20"/>
        <v>3.4311942647315963E-2</v>
      </c>
      <c r="S63" s="307">
        <f t="shared" ca="1" si="21"/>
        <v>0.43738898408812737</v>
      </c>
      <c r="T63" s="304">
        <f t="shared" ca="1" si="1"/>
        <v>4.2907859339045293</v>
      </c>
      <c r="U63" s="311">
        <f t="shared" ca="1" si="2"/>
        <v>0</v>
      </c>
      <c r="V63" s="306">
        <f t="shared" ca="1" si="3"/>
        <v>1.2223332932704201</v>
      </c>
      <c r="W63" s="304">
        <f t="shared" ca="1" si="4"/>
        <v>7.4759597852576229</v>
      </c>
      <c r="Y63" s="314" t="str">
        <f t="shared" ca="1" si="22"/>
        <v/>
      </c>
      <c r="Z63" s="315" t="str">
        <f t="shared" ca="1" si="23"/>
        <v/>
      </c>
      <c r="AA63" s="316" t="str">
        <f t="shared" ca="1" si="24"/>
        <v/>
      </c>
      <c r="AC63" s="310" t="e">
        <f t="shared" ca="1" si="25"/>
        <v>#N/A</v>
      </c>
      <c r="AD63" s="323" t="e">
        <f t="shared" ca="1" si="26"/>
        <v>#N/A</v>
      </c>
      <c r="AE63" s="324">
        <f t="shared" ca="1" si="5"/>
        <v>21.792754888867023</v>
      </c>
      <c r="AG63" s="306">
        <f t="shared" ca="1" si="27"/>
        <v>118.52104603196497</v>
      </c>
      <c r="AH63" s="304">
        <f t="shared" ca="1" si="28"/>
        <v>128.15763993853497</v>
      </c>
    </row>
    <row r="64" spans="1:34" x14ac:dyDescent="0.3">
      <c r="A64" s="347">
        <f t="shared" ca="1" si="6"/>
        <v>0.01</v>
      </c>
      <c r="B64" s="304">
        <f t="shared" ca="1" si="7"/>
        <v>0.60000000000000031</v>
      </c>
      <c r="D64" s="306">
        <f t="shared" ca="1" si="8"/>
        <v>23.854449982018171</v>
      </c>
      <c r="E64" s="307">
        <f t="shared" ca="1" si="9"/>
        <v>115.20697579880317</v>
      </c>
      <c r="F64" s="304">
        <f t="shared" ca="1" si="10"/>
        <v>117.65067809685851</v>
      </c>
      <c r="G64" s="306">
        <f t="shared" ca="1" si="11"/>
        <v>14.490472890399461</v>
      </c>
      <c r="H64" s="307">
        <f t="shared" ca="1" si="12"/>
        <v>75.843919204712677</v>
      </c>
      <c r="I64" s="304">
        <f t="shared" ca="1" si="13"/>
        <v>77.215761894307477</v>
      </c>
      <c r="J64" s="306">
        <f t="shared" ca="1" si="14"/>
        <v>4.1704908450453733</v>
      </c>
      <c r="K64" s="307">
        <f t="shared" ca="1" si="15"/>
        <v>22.545433732124209</v>
      </c>
      <c r="L64" s="304">
        <f t="shared" ca="1" si="0"/>
        <v>22.927921320045815</v>
      </c>
      <c r="M64" s="306">
        <f t="shared" ca="1" si="16"/>
        <v>1.3820148998613688</v>
      </c>
      <c r="N64" s="304">
        <f t="shared" ca="1" si="17"/>
        <v>79.18362098625154</v>
      </c>
      <c r="P64" s="310">
        <f t="shared" ca="1" si="18"/>
        <v>11</v>
      </c>
      <c r="Q64" s="304">
        <f t="shared" ca="1" si="19"/>
        <v>63.099999999999994</v>
      </c>
      <c r="R64" s="306">
        <f t="shared" ca="1" si="20"/>
        <v>3.4203532086029026E-2</v>
      </c>
      <c r="S64" s="307">
        <f t="shared" ca="1" si="21"/>
        <v>0.43704694876726707</v>
      </c>
      <c r="T64" s="304">
        <f t="shared" ca="1" si="1"/>
        <v>4.28743056740689</v>
      </c>
      <c r="U64" s="311">
        <f t="shared" ca="1" si="2"/>
        <v>0</v>
      </c>
      <c r="V64" s="306">
        <f t="shared" ca="1" si="3"/>
        <v>1.2222412941787788</v>
      </c>
      <c r="W64" s="304">
        <f t="shared" ca="1" si="4"/>
        <v>7.7084820631452242</v>
      </c>
      <c r="Y64" s="314" t="str">
        <f t="shared" ca="1" si="22"/>
        <v/>
      </c>
      <c r="Z64" s="315" t="str">
        <f t="shared" ca="1" si="23"/>
        <v/>
      </c>
      <c r="AA64" s="316" t="str">
        <f t="shared" ca="1" si="24"/>
        <v/>
      </c>
      <c r="AC64" s="310" t="e">
        <f t="shared" ca="1" si="25"/>
        <v>#N/A</v>
      </c>
      <c r="AD64" s="323" t="e">
        <f t="shared" ca="1" si="26"/>
        <v>#N/A</v>
      </c>
      <c r="AE64" s="324">
        <f t="shared" ca="1" si="5"/>
        <v>22.545433732124209</v>
      </c>
      <c r="AG64" s="306">
        <f t="shared" ca="1" si="27"/>
        <v>117.6363096427836</v>
      </c>
      <c r="AH64" s="304">
        <f t="shared" ca="1" si="28"/>
        <v>127.27245979324492</v>
      </c>
    </row>
    <row r="65" spans="1:34" x14ac:dyDescent="0.3">
      <c r="A65" s="347">
        <f t="shared" ca="1" si="6"/>
        <v>0.01</v>
      </c>
      <c r="B65" s="304">
        <f t="shared" ca="1" si="7"/>
        <v>0.61000000000000032</v>
      </c>
      <c r="D65" s="306">
        <f t="shared" ca="1" si="8"/>
        <v>23.717001440629748</v>
      </c>
      <c r="E65" s="307">
        <f t="shared" ca="1" si="9"/>
        <v>114.32606889482186</v>
      </c>
      <c r="F65" s="304">
        <f t="shared" ca="1" si="10"/>
        <v>116.76020806027364</v>
      </c>
      <c r="G65" s="306">
        <f t="shared" ca="1" si="11"/>
        <v>14.727642904805759</v>
      </c>
      <c r="H65" s="307">
        <f t="shared" ca="1" si="12"/>
        <v>76.987179893660894</v>
      </c>
      <c r="I65" s="304">
        <f t="shared" ca="1" si="13"/>
        <v>78.383220994740824</v>
      </c>
      <c r="J65" s="306">
        <f t="shared" ca="1" si="14"/>
        <v>4.3165814240213995</v>
      </c>
      <c r="K65" s="307">
        <f t="shared" ca="1" si="15"/>
        <v>23.309589227616076</v>
      </c>
      <c r="L65" s="304">
        <f t="shared" ca="1" si="0"/>
        <v>23.705902749112973</v>
      </c>
      <c r="M65" s="306">
        <f t="shared" ca="1" si="16"/>
        <v>1.3817800325895409</v>
      </c>
      <c r="N65" s="304">
        <f t="shared" ca="1" si="17"/>
        <v>79.170164082830041</v>
      </c>
      <c r="P65" s="310">
        <f t="shared" ca="1" si="18"/>
        <v>12</v>
      </c>
      <c r="Q65" s="304">
        <f t="shared" ca="1" si="19"/>
        <v>62.899999999999991</v>
      </c>
      <c r="R65" s="306">
        <f t="shared" ca="1" si="20"/>
        <v>3.4095121524742082E-2</v>
      </c>
      <c r="S65" s="307">
        <f t="shared" ca="1" si="21"/>
        <v>0.43670599755201966</v>
      </c>
      <c r="T65" s="304">
        <f t="shared" ca="1" si="1"/>
        <v>4.2840858359853131</v>
      </c>
      <c r="U65" s="311">
        <f t="shared" ca="1" si="2"/>
        <v>0</v>
      </c>
      <c r="V65" s="306">
        <f t="shared" ca="1" si="3"/>
        <v>1.2221478993843062</v>
      </c>
      <c r="W65" s="304">
        <f t="shared" ca="1" si="4"/>
        <v>7.9427330987383344</v>
      </c>
      <c r="Y65" s="314" t="str">
        <f t="shared" ca="1" si="22"/>
        <v/>
      </c>
      <c r="Z65" s="315" t="str">
        <f t="shared" ca="1" si="23"/>
        <v/>
      </c>
      <c r="AA65" s="316" t="str">
        <f t="shared" ca="1" si="24"/>
        <v/>
      </c>
      <c r="AC65" s="310" t="e">
        <f t="shared" ca="1" si="25"/>
        <v>#N/A</v>
      </c>
      <c r="AD65" s="323" t="e">
        <f t="shared" ca="1" si="26"/>
        <v>#N/A</v>
      </c>
      <c r="AE65" s="324">
        <f t="shared" ca="1" si="5"/>
        <v>23.309589227616076</v>
      </c>
      <c r="AG65" s="306">
        <f t="shared" ca="1" si="27"/>
        <v>116.74569385208478</v>
      </c>
      <c r="AH65" s="304">
        <f t="shared" ca="1" si="28"/>
        <v>126.38140590290485</v>
      </c>
    </row>
    <row r="66" spans="1:34" x14ac:dyDescent="0.3">
      <c r="A66" s="347">
        <f t="shared" ca="1" si="6"/>
        <v>0.01</v>
      </c>
      <c r="B66" s="304">
        <f t="shared" ca="1" si="7"/>
        <v>0.62000000000000033</v>
      </c>
      <c r="D66" s="306">
        <f t="shared" ca="1" si="8"/>
        <v>23.577669090172531</v>
      </c>
      <c r="E66" s="307">
        <f t="shared" ca="1" si="9"/>
        <v>113.43974630706261</v>
      </c>
      <c r="F66" s="304">
        <f t="shared" ca="1" si="10"/>
        <v>115.8640691583737</v>
      </c>
      <c r="G66" s="306">
        <f t="shared" ca="1" si="11"/>
        <v>14.963419595707483</v>
      </c>
      <c r="H66" s="307">
        <f t="shared" ca="1" si="12"/>
        <v>78.121577356731521</v>
      </c>
      <c r="I66" s="304">
        <f t="shared" ca="1" si="13"/>
        <v>79.541717197336069</v>
      </c>
      <c r="J66" s="306">
        <f t="shared" ca="1" si="14"/>
        <v>4.4650367365239658</v>
      </c>
      <c r="K66" s="307">
        <f t="shared" ca="1" si="15"/>
        <v>24.085133013868038</v>
      </c>
      <c r="L66" s="304">
        <f t="shared" ca="1" si="0"/>
        <v>24.495513576045404</v>
      </c>
      <c r="M66" s="306">
        <f t="shared" ca="1" si="16"/>
        <v>1.3815483015615553</v>
      </c>
      <c r="N66" s="304">
        <f t="shared" ca="1" si="17"/>
        <v>79.156886872944241</v>
      </c>
      <c r="P66" s="310">
        <f t="shared" ca="1" si="18"/>
        <v>12</v>
      </c>
      <c r="Q66" s="304">
        <f t="shared" ca="1" si="19"/>
        <v>62.699999999999996</v>
      </c>
      <c r="R66" s="306">
        <f t="shared" ca="1" si="20"/>
        <v>3.3986710963455145E-2</v>
      </c>
      <c r="S66" s="307">
        <f t="shared" ca="1" si="21"/>
        <v>0.43636613044238509</v>
      </c>
      <c r="T66" s="304">
        <f t="shared" ca="1" si="1"/>
        <v>4.2807517396397978</v>
      </c>
      <c r="U66" s="311">
        <f t="shared" ca="1" si="2"/>
        <v>0</v>
      </c>
      <c r="V66" s="306">
        <f t="shared" ca="1" si="3"/>
        <v>1.222053120005633</v>
      </c>
      <c r="W66" s="304">
        <f t="shared" ca="1" si="4"/>
        <v>8.1786194483312524</v>
      </c>
      <c r="Y66" s="314" t="str">
        <f t="shared" ca="1" si="22"/>
        <v/>
      </c>
      <c r="Z66" s="315" t="str">
        <f t="shared" ca="1" si="23"/>
        <v/>
      </c>
      <c r="AA66" s="316" t="str">
        <f t="shared" ca="1" si="24"/>
        <v/>
      </c>
      <c r="AC66" s="310" t="e">
        <f t="shared" ca="1" si="25"/>
        <v>#N/A</v>
      </c>
      <c r="AD66" s="323" t="e">
        <f t="shared" ca="1" si="26"/>
        <v>#N/A</v>
      </c>
      <c r="AE66" s="324">
        <f t="shared" ca="1" si="5"/>
        <v>24.085133013868038</v>
      </c>
      <c r="AG66" s="306">
        <f t="shared" ca="1" si="27"/>
        <v>115.84940669292082</v>
      </c>
      <c r="AH66" s="304">
        <f t="shared" ca="1" si="28"/>
        <v>125.48468609547928</v>
      </c>
    </row>
    <row r="67" spans="1:34" x14ac:dyDescent="0.3">
      <c r="A67" s="347">
        <f t="shared" ca="1" si="6"/>
        <v>0.01</v>
      </c>
      <c r="B67" s="304">
        <f t="shared" ca="1" si="7"/>
        <v>0.63000000000000034</v>
      </c>
      <c r="D67" s="306">
        <f t="shared" ca="1" si="8"/>
        <v>23.436511165859315</v>
      </c>
      <c r="E67" s="307">
        <f t="shared" ca="1" si="9"/>
        <v>112.54820885092371</v>
      </c>
      <c r="F67" s="304">
        <f t="shared" ca="1" si="10"/>
        <v>114.96246940275157</v>
      </c>
      <c r="G67" s="306">
        <f t="shared" ca="1" si="11"/>
        <v>15.197784707366077</v>
      </c>
      <c r="H67" s="307">
        <f t="shared" ca="1" si="12"/>
        <v>79.247059445240751</v>
      </c>
      <c r="I67" s="304">
        <f t="shared" ca="1" si="13"/>
        <v>80.691195868749958</v>
      </c>
      <c r="J67" s="306">
        <f t="shared" ca="1" si="14"/>
        <v>4.6158427580393333</v>
      </c>
      <c r="K67" s="307">
        <f t="shared" ca="1" si="15"/>
        <v>24.871976197877899</v>
      </c>
      <c r="L67" s="304">
        <f t="shared" ca="1" si="0"/>
        <v>25.296663897730646</v>
      </c>
      <c r="M67" s="306">
        <f t="shared" ca="1" si="16"/>
        <v>1.3813195949334278</v>
      </c>
      <c r="N67" s="304">
        <f t="shared" ca="1" si="17"/>
        <v>79.143782948405871</v>
      </c>
      <c r="P67" s="310">
        <f t="shared" ca="1" si="18"/>
        <v>12</v>
      </c>
      <c r="Q67" s="304">
        <f t="shared" ca="1" si="19"/>
        <v>62.499999999999993</v>
      </c>
      <c r="R67" s="306">
        <f t="shared" ca="1" si="20"/>
        <v>3.3878300402168209E-2</v>
      </c>
      <c r="S67" s="307">
        <f t="shared" ca="1" si="21"/>
        <v>0.43602734743836341</v>
      </c>
      <c r="T67" s="304">
        <f t="shared" ca="1" si="1"/>
        <v>4.277428278370345</v>
      </c>
      <c r="U67" s="311">
        <f t="shared" ca="1" si="2"/>
        <v>0</v>
      </c>
      <c r="V67" s="306">
        <f t="shared" ca="1" si="3"/>
        <v>1.221956967227694</v>
      </c>
      <c r="W67" s="304">
        <f t="shared" ca="1" si="4"/>
        <v>8.4160480690175206</v>
      </c>
      <c r="Y67" s="314" t="str">
        <f t="shared" ca="1" si="22"/>
        <v/>
      </c>
      <c r="Z67" s="315" t="str">
        <f t="shared" ca="1" si="23"/>
        <v/>
      </c>
      <c r="AA67" s="316" t="str">
        <f t="shared" ca="1" si="24"/>
        <v/>
      </c>
      <c r="AC67" s="310" t="e">
        <f t="shared" ca="1" si="25"/>
        <v>#N/A</v>
      </c>
      <c r="AD67" s="323" t="e">
        <f t="shared" ca="1" si="26"/>
        <v>#N/A</v>
      </c>
      <c r="AE67" s="324">
        <f t="shared" ca="1" si="5"/>
        <v>24.871976197877899</v>
      </c>
      <c r="AG67" s="306">
        <f t="shared" ca="1" si="27"/>
        <v>114.947656106794</v>
      </c>
      <c r="AH67" s="304">
        <f t="shared" ca="1" si="28"/>
        <v>124.58250811744688</v>
      </c>
    </row>
    <row r="68" spans="1:34" x14ac:dyDescent="0.3">
      <c r="A68" s="347">
        <f t="shared" ca="1" si="6"/>
        <v>0.01</v>
      </c>
      <c r="B68" s="304">
        <f t="shared" ca="1" si="7"/>
        <v>0.64000000000000035</v>
      </c>
      <c r="D68" s="306">
        <f t="shared" ca="1" si="8"/>
        <v>23.29358503163234</v>
      </c>
      <c r="E68" s="307">
        <f t="shared" ca="1" si="9"/>
        <v>111.65165729008136</v>
      </c>
      <c r="F68" s="304">
        <f t="shared" ca="1" si="10"/>
        <v>114.05561660544238</v>
      </c>
      <c r="G68" s="306">
        <f t="shared" ca="1" si="11"/>
        <v>15.430720557682401</v>
      </c>
      <c r="H68" s="307">
        <f t="shared" ca="1" si="12"/>
        <v>80.363576018141558</v>
      </c>
      <c r="I68" s="304">
        <f t="shared" ca="1" si="13"/>
        <v>81.831604453003962</v>
      </c>
      <c r="J68" s="306">
        <f t="shared" ca="1" si="14"/>
        <v>4.7689852843645753</v>
      </c>
      <c r="K68" s="307">
        <f t="shared" ca="1" si="15"/>
        <v>25.670029375194812</v>
      </c>
      <c r="L68" s="304">
        <f t="shared" ref="L68:L131" ca="1" si="29">SQRT(pos_x^2+pos_z^2)</f>
        <v>26.109263275049535</v>
      </c>
      <c r="M68" s="306">
        <f t="shared" ca="1" si="16"/>
        <v>1.3810938062970124</v>
      </c>
      <c r="N68" s="304">
        <f t="shared" ca="1" si="17"/>
        <v>79.130846212477252</v>
      </c>
      <c r="P68" s="310">
        <f t="shared" ca="1" si="18"/>
        <v>12</v>
      </c>
      <c r="Q68" s="304">
        <f t="shared" ca="1" si="19"/>
        <v>62.29999999999999</v>
      </c>
      <c r="R68" s="306">
        <f t="shared" ca="1" si="20"/>
        <v>3.3769889840881272E-2</v>
      </c>
      <c r="S68" s="307">
        <f t="shared" ca="1" si="21"/>
        <v>0.43568964853995462</v>
      </c>
      <c r="T68" s="304">
        <f t="shared" ref="T68:T131" ca="1" si="30">m*g</f>
        <v>4.2741154521769547</v>
      </c>
      <c r="U68" s="311">
        <f t="shared" ref="U68:U131" ca="1" si="31">IF(pos_xz&lt;L_rampe,Poids*COS(Beta),0)</f>
        <v>0</v>
      </c>
      <c r="V68" s="306">
        <f t="shared" ref="V68:V131" ca="1" si="32">Rho_moyen*(20000-Alt_rampe-pos_z)/(20000+Alt_rampe+pos_z)</f>
        <v>1.2218594522991253</v>
      </c>
      <c r="W68" s="304">
        <f t="shared" ref="W68:W131" ca="1" si="33">1/2*Rho*Sref*Cx*vit_xz^2</f>
        <v>8.6549263631832893</v>
      </c>
      <c r="Y68" s="314" t="str">
        <f t="shared" ca="1" si="22"/>
        <v/>
      </c>
      <c r="Z68" s="315" t="str">
        <f t="shared" ca="1" si="23"/>
        <v/>
      </c>
      <c r="AA68" s="316" t="str">
        <f t="shared" ca="1" si="24"/>
        <v/>
      </c>
      <c r="AC68" s="310" t="e">
        <f t="shared" ca="1" si="25"/>
        <v>#N/A</v>
      </c>
      <c r="AD68" s="323" t="e">
        <f t="shared" ca="1" si="26"/>
        <v>#N/A</v>
      </c>
      <c r="AE68" s="324">
        <f t="shared" ref="AE68:AE131" ca="1" si="34">IF(t&lt;T_para, pos_z, NA())</f>
        <v>25.670029375194812</v>
      </c>
      <c r="AG68" s="306">
        <f t="shared" ca="1" si="27"/>
        <v>114.04064983456236</v>
      </c>
      <c r="AH68" s="304">
        <f t="shared" ca="1" si="28"/>
        <v>123.67507952404584</v>
      </c>
    </row>
    <row r="69" spans="1:34" x14ac:dyDescent="0.3">
      <c r="A69" s="347">
        <f t="shared" ref="A69:A132" ca="1" si="35">IF(B68+0.01&lt;=T_ini+ROUNDUP(Temps_fin_propu,0), 0.01, IF(K68&gt;0, 0.1, 0.0001))</f>
        <v>0.01</v>
      </c>
      <c r="B69" s="304">
        <f t="shared" ref="B69:B132" ca="1" si="36">B68+pas</f>
        <v>0.65000000000000036</v>
      </c>
      <c r="D69" s="306">
        <f t="shared" ref="D69:D132" ca="1" si="37">IF(AND(L68&lt;L_rampe,Poussee&lt;Poids*SIN(M68)),0,(-W68+Poussee)/m*COS(M68)-U68/m*SIN(M68))</f>
        <v>23.148947219419533</v>
      </c>
      <c r="E69" s="307">
        <f t="shared" ref="E69:E132" ca="1" si="38">IF(AND(L68&lt;L_rampe,Poussee&lt;Poids*SIN(M68)),0,(-W68+Poussee)/m*SIN(M68)+U68/m*COS(M68)-Poids/m)</f>
        <v>110.75029222054548</v>
      </c>
      <c r="F69" s="304">
        <f t="shared" ref="F69:F132" ca="1" si="39">SQRT(acc_x^2+acc_z^2)</f>
        <v>113.14371827151381</v>
      </c>
      <c r="G69" s="306">
        <f t="shared" ref="G69:G132" ca="1" si="40">G68+acc_x*pas</f>
        <v>15.662210029876595</v>
      </c>
      <c r="H69" s="307">
        <f t="shared" ref="H69:H132" ca="1" si="41">H68+acc_z*pas</f>
        <v>81.471078940347013</v>
      </c>
      <c r="I69" s="304">
        <f t="shared" ref="I69:I132" ca="1" si="42">SQRT(vit_x^2+vit_z^2)</f>
        <v>82.962892468405542</v>
      </c>
      <c r="J69" s="306">
        <f t="shared" ref="J69:J132" ca="1" si="43">J68+0.5*(vit_x+G68)*pas*(K68&gt;=0)</f>
        <v>4.92444993730237</v>
      </c>
      <c r="K69" s="307">
        <f t="shared" ref="K69:K132" ca="1" si="44">K68+0.5*(vit_z+H68)*pas</f>
        <v>26.479202649987254</v>
      </c>
      <c r="L69" s="304">
        <f t="shared" ca="1" si="29"/>
        <v>26.933220753636007</v>
      </c>
      <c r="M69" s="306">
        <f t="shared" ref="M69:M132" ca="1" si="45">IF(AND(L68&gt;L_rampe,G69&gt;0),ATAN2(G69,H69),$M$4)</f>
        <v>1.3808708343295786</v>
      </c>
      <c r="N69" s="304">
        <f t="shared" ref="N69:N132" ca="1" si="46">DEGREES(Beta)</f>
        <v>79.118070859793562</v>
      </c>
      <c r="P69" s="310">
        <f t="shared" ref="P69:P132" ca="1" si="47">MATCH(t-pas/2-T_ini,CdP_t)</f>
        <v>12</v>
      </c>
      <c r="Q69" s="304">
        <f t="shared" ref="Q69:Q132" ca="1" si="48">(INDEX(CdP,2,i_P+1)-INDEX(CdP,2,i_P+0))/(INDEX(CdP,1,i_P+1)-INDEX(CdP,1,i_P+0))*(t-pas/2-T_ini-INDEX(CdP,1,i_P+0))+INDEX(CdP,2,i_P+0)</f>
        <v>62.099999999999994</v>
      </c>
      <c r="R69" s="306">
        <f t="shared" ref="R69:R132" ca="1" si="49">Poussee/(g*ISP)</f>
        <v>3.3661479279594335E-2</v>
      </c>
      <c r="S69" s="307">
        <f t="shared" ref="S69:S132" ca="1" si="50">S68-Débit*pas</f>
        <v>0.43535303374715867</v>
      </c>
      <c r="T69" s="304">
        <f t="shared" ca="1" si="30"/>
        <v>4.2708132610596268</v>
      </c>
      <c r="U69" s="311">
        <f t="shared" ca="1" si="31"/>
        <v>0</v>
      </c>
      <c r="V69" s="306">
        <f t="shared" ca="1" si="32"/>
        <v>1.2217605865296639</v>
      </c>
      <c r="W69" s="304">
        <f t="shared" ca="1" si="33"/>
        <v>8.8951622220362605</v>
      </c>
      <c r="Y69" s="314" t="str">
        <f t="shared" ref="Y69:Y132" ca="1" si="51">IF(AND(pos_z&lt;=0,K68&gt;0),"Impact balistique","") &amp; IF(AND(H70&lt;0,vit_z&gt;=0),"Apogée","") &amp; IF(AND(Poussee=0,Q68&gt;0),"Fin de propulsion","") &amp; IF(AND(L70&gt;L_rampe,pos_xz&lt;=L_rampe),"Sortie de rampe","")</f>
        <v/>
      </c>
      <c r="Z69" s="315" t="str">
        <f t="shared" ref="Z69:Z132" ca="1" si="52">IF(ABS(t-T_para)&lt;pas/2,"Para","")</f>
        <v/>
      </c>
      <c r="AA69" s="316" t="str">
        <f t="shared" ref="AA69:AA132" ca="1" si="53">IF(ABS(t-T_satellite)&lt;pas/2,"Satellite","")</f>
        <v/>
      </c>
      <c r="AC69" s="310" t="e">
        <f t="shared" ref="AC69:AC132" ca="1" si="54">IF(ABS(t-ROUND(t,0))&lt;0.001,t,NA())</f>
        <v>#N/A</v>
      </c>
      <c r="AD69" s="323" t="e">
        <f t="shared" ref="AD69:AD132" ca="1" si="55">IF(ABS(t-ROUND(t,0))&lt;0.001,pos_x,NA())</f>
        <v>#N/A</v>
      </c>
      <c r="AE69" s="324">
        <f t="shared" ca="1" si="34"/>
        <v>26.479202649987254</v>
      </c>
      <c r="AG69" s="306">
        <f t="shared" ref="AG69:AG132" ca="1" si="56">IF(AND(L68&lt;L_rampe,Poussee&lt;Poids*SIN(M68)),0,(-W68+Poussee)/m-Poids*SIN(M68)/m)</f>
        <v>113.12859530893343</v>
      </c>
      <c r="AH69" s="304">
        <f t="shared" ref="AH69:AH132" ca="1" si="57">IF(AND(L68&lt;L_rampe,Poussee&lt;Poids*SIN(M68)), g*SIN(M68), (-W68+Poussee)/m)</f>
        <v>122.76260757116066</v>
      </c>
    </row>
    <row r="70" spans="1:34" x14ac:dyDescent="0.3">
      <c r="A70" s="347">
        <f t="shared" ca="1" si="35"/>
        <v>0.01</v>
      </c>
      <c r="B70" s="304">
        <f t="shared" ca="1" si="36"/>
        <v>0.66000000000000036</v>
      </c>
      <c r="D70" s="306">
        <f t="shared" ca="1" si="37"/>
        <v>23.002653463703584</v>
      </c>
      <c r="E70" s="307">
        <f t="shared" ca="1" si="38"/>
        <v>109.84431395722436</v>
      </c>
      <c r="F70" s="304">
        <f t="shared" ca="1" si="39"/>
        <v>112.22698149333122</v>
      </c>
      <c r="G70" s="306">
        <f t="shared" ca="1" si="40"/>
        <v>15.892236564513631</v>
      </c>
      <c r="H70" s="307">
        <f t="shared" ca="1" si="41"/>
        <v>82.569522079919253</v>
      </c>
      <c r="I70" s="304">
        <f t="shared" ca="1" si="42"/>
        <v>84.085011503410854</v>
      </c>
      <c r="J70" s="306">
        <f t="shared" ca="1" si="43"/>
        <v>5.0822221702743215</v>
      </c>
      <c r="K70" s="307">
        <f t="shared" ca="1" si="44"/>
        <v>27.299405655088584</v>
      </c>
      <c r="L70" s="304">
        <f t="shared" ca="1" si="29"/>
        <v>27.768444884600765</v>
      </c>
      <c r="M70" s="306">
        <f t="shared" ca="1" si="45"/>
        <v>1.3806505824712547</v>
      </c>
      <c r="N70" s="304">
        <f t="shared" ca="1" si="46"/>
        <v>79.105451357881691</v>
      </c>
      <c r="P70" s="310">
        <f t="shared" ca="1" si="47"/>
        <v>12</v>
      </c>
      <c r="Q70" s="304">
        <f t="shared" ca="1" si="48"/>
        <v>61.899999999999991</v>
      </c>
      <c r="R70" s="306">
        <f t="shared" ca="1" si="49"/>
        <v>3.3553068718307391E-2</v>
      </c>
      <c r="S70" s="307">
        <f t="shared" ca="1" si="50"/>
        <v>0.43501750305997561</v>
      </c>
      <c r="T70" s="304">
        <f t="shared" ca="1" si="30"/>
        <v>4.2675217050183614</v>
      </c>
      <c r="U70" s="311">
        <f t="shared" ca="1" si="31"/>
        <v>0</v>
      </c>
      <c r="V70" s="306">
        <f t="shared" ca="1" si="32"/>
        <v>1.2216603812875499</v>
      </c>
      <c r="W70" s="304">
        <f t="shared" ca="1" si="33"/>
        <v>9.1366640681425562</v>
      </c>
      <c r="Y70" s="314" t="str">
        <f t="shared" ca="1" si="51"/>
        <v/>
      </c>
      <c r="Z70" s="315" t="str">
        <f t="shared" ca="1" si="52"/>
        <v/>
      </c>
      <c r="AA70" s="316" t="str">
        <f t="shared" ca="1" si="53"/>
        <v/>
      </c>
      <c r="AC70" s="310" t="e">
        <f t="shared" ca="1" si="54"/>
        <v>#N/A</v>
      </c>
      <c r="AD70" s="323" t="e">
        <f t="shared" ca="1" si="55"/>
        <v>#N/A</v>
      </c>
      <c r="AE70" s="324">
        <f t="shared" ca="1" si="34"/>
        <v>27.299405655088584</v>
      </c>
      <c r="AG70" s="306">
        <f t="shared" ca="1" si="56"/>
        <v>112.21169954863312</v>
      </c>
      <c r="AH70" s="304">
        <f t="shared" ca="1" si="57"/>
        <v>121.84529910893259</v>
      </c>
    </row>
    <row r="71" spans="1:34" x14ac:dyDescent="0.3">
      <c r="A71" s="347">
        <f t="shared" ca="1" si="35"/>
        <v>0.01</v>
      </c>
      <c r="B71" s="304">
        <f t="shared" ca="1" si="36"/>
        <v>0.67000000000000037</v>
      </c>
      <c r="D71" s="306">
        <f t="shared" ca="1" si="37"/>
        <v>22.854758731896364</v>
      </c>
      <c r="E71" s="307">
        <f t="shared" ca="1" si="38"/>
        <v>108.93392242299838</v>
      </c>
      <c r="F71" s="304">
        <f t="shared" ca="1" si="39"/>
        <v>111.3056128465812</v>
      </c>
      <c r="G71" s="306">
        <f t="shared" ca="1" si="40"/>
        <v>16.120784151832595</v>
      </c>
      <c r="H71" s="307">
        <f t="shared" ca="1" si="41"/>
        <v>83.658861304149241</v>
      </c>
      <c r="I71" s="304">
        <f t="shared" ca="1" si="42"/>
        <v>85.19791521144667</v>
      </c>
      <c r="J71" s="306">
        <f t="shared" ca="1" si="43"/>
        <v>5.2422872738560526</v>
      </c>
      <c r="K71" s="307">
        <f t="shared" ca="1" si="44"/>
        <v>28.130547572008926</v>
      </c>
      <c r="L71" s="304">
        <f t="shared" ca="1" si="29"/>
        <v>28.614843745208368</v>
      </c>
      <c r="M71" s="306">
        <f t="shared" ca="1" si="45"/>
        <v>1.3804329586277124</v>
      </c>
      <c r="N71" s="304">
        <f t="shared" ca="1" si="46"/>
        <v>79.092982430125303</v>
      </c>
      <c r="P71" s="310">
        <f t="shared" ca="1" si="47"/>
        <v>12</v>
      </c>
      <c r="Q71" s="304">
        <f t="shared" ca="1" si="48"/>
        <v>61.699999999999989</v>
      </c>
      <c r="R71" s="306">
        <f t="shared" ca="1" si="49"/>
        <v>3.3444658157020454E-2</v>
      </c>
      <c r="S71" s="307">
        <f t="shared" ca="1" si="50"/>
        <v>0.43468305647840538</v>
      </c>
      <c r="T71" s="304">
        <f t="shared" ca="1" si="30"/>
        <v>4.2642407840531567</v>
      </c>
      <c r="U71" s="311">
        <f t="shared" ca="1" si="31"/>
        <v>0</v>
      </c>
      <c r="V71" s="306">
        <f t="shared" ca="1" si="32"/>
        <v>1.2215588479969355</v>
      </c>
      <c r="W71" s="304">
        <f t="shared" ca="1" si="33"/>
        <v>9.3793408969457559</v>
      </c>
      <c r="Y71" s="314" t="str">
        <f t="shared" ca="1" si="51"/>
        <v/>
      </c>
      <c r="Z71" s="315" t="str">
        <f t="shared" ca="1" si="52"/>
        <v/>
      </c>
      <c r="AA71" s="316" t="str">
        <f t="shared" ca="1" si="53"/>
        <v/>
      </c>
      <c r="AC71" s="310" t="e">
        <f t="shared" ca="1" si="54"/>
        <v>#N/A</v>
      </c>
      <c r="AD71" s="323" t="e">
        <f t="shared" ca="1" si="55"/>
        <v>#N/A</v>
      </c>
      <c r="AE71" s="324">
        <f t="shared" ca="1" si="34"/>
        <v>28.130547572008926</v>
      </c>
      <c r="AG71" s="306">
        <f t="shared" ca="1" si="56"/>
        <v>111.29016905433332</v>
      </c>
      <c r="AH71" s="304">
        <f t="shared" ca="1" si="57"/>
        <v>120.92336047717269</v>
      </c>
    </row>
    <row r="72" spans="1:34" x14ac:dyDescent="0.3">
      <c r="A72" s="347">
        <f t="shared" ca="1" si="35"/>
        <v>0.01</v>
      </c>
      <c r="B72" s="304">
        <f t="shared" ca="1" si="36"/>
        <v>0.68000000000000038</v>
      </c>
      <c r="D72" s="306">
        <f t="shared" ca="1" si="37"/>
        <v>22.705317250958522</v>
      </c>
      <c r="E72" s="307">
        <f t="shared" ca="1" si="38"/>
        <v>108.01931704030741</v>
      </c>
      <c r="F72" s="304">
        <f t="shared" ca="1" si="39"/>
        <v>110.37981828813237</v>
      </c>
      <c r="G72" s="306">
        <f t="shared" ca="1" si="40"/>
        <v>16.34783732434218</v>
      </c>
      <c r="H72" s="307">
        <f t="shared" ca="1" si="41"/>
        <v>84.739054474552319</v>
      </c>
      <c r="I72" s="304">
        <f t="shared" ca="1" si="42"/>
        <v>86.301559304709556</v>
      </c>
      <c r="J72" s="306">
        <f t="shared" ca="1" si="43"/>
        <v>5.4046303812369265</v>
      </c>
      <c r="K72" s="307">
        <f t="shared" ca="1" si="44"/>
        <v>28.972537150902433</v>
      </c>
      <c r="L72" s="304">
        <f t="shared" ca="1" si="29"/>
        <v>29.472324959497357</v>
      </c>
      <c r="M72" s="306">
        <f t="shared" ca="1" si="45"/>
        <v>1.3802178748957541</v>
      </c>
      <c r="N72" s="304">
        <f t="shared" ca="1" si="46"/>
        <v>79.080659040042164</v>
      </c>
      <c r="P72" s="310">
        <f t="shared" ca="1" si="47"/>
        <v>12</v>
      </c>
      <c r="Q72" s="304">
        <f t="shared" ca="1" si="48"/>
        <v>61.499999999999993</v>
      </c>
      <c r="R72" s="306">
        <f t="shared" ca="1" si="49"/>
        <v>3.3336247595733517E-2</v>
      </c>
      <c r="S72" s="307">
        <f t="shared" ca="1" si="50"/>
        <v>0.43434969400244805</v>
      </c>
      <c r="T72" s="304">
        <f t="shared" ca="1" si="30"/>
        <v>4.2609704981640153</v>
      </c>
      <c r="U72" s="311">
        <f t="shared" ca="1" si="31"/>
        <v>0</v>
      </c>
      <c r="V72" s="306">
        <f t="shared" ca="1" si="32"/>
        <v>1.2214559981352993</v>
      </c>
      <c r="W72" s="304">
        <f t="shared" ca="1" si="33"/>
        <v>9.6231023172438324</v>
      </c>
      <c r="Y72" s="314" t="str">
        <f t="shared" ca="1" si="51"/>
        <v/>
      </c>
      <c r="Z72" s="315" t="str">
        <f t="shared" ca="1" si="52"/>
        <v/>
      </c>
      <c r="AA72" s="316" t="str">
        <f t="shared" ca="1" si="53"/>
        <v/>
      </c>
      <c r="AC72" s="310" t="e">
        <f t="shared" ca="1" si="54"/>
        <v>#N/A</v>
      </c>
      <c r="AD72" s="323" t="e">
        <f t="shared" ca="1" si="55"/>
        <v>#N/A</v>
      </c>
      <c r="AE72" s="324">
        <f t="shared" ca="1" si="34"/>
        <v>28.972537150902433</v>
      </c>
      <c r="AG72" s="306">
        <f t="shared" ca="1" si="56"/>
        <v>110.36420970641643</v>
      </c>
      <c r="AH72" s="304">
        <f t="shared" ca="1" si="57"/>
        <v>119.99699740265152</v>
      </c>
    </row>
    <row r="73" spans="1:34" x14ac:dyDescent="0.3">
      <c r="A73" s="347">
        <f t="shared" ca="1" si="35"/>
        <v>0.01</v>
      </c>
      <c r="B73" s="304">
        <f t="shared" ca="1" si="36"/>
        <v>0.69000000000000039</v>
      </c>
      <c r="D73" s="306">
        <f t="shared" ca="1" si="37"/>
        <v>22.554382530657584</v>
      </c>
      <c r="E73" s="307">
        <f t="shared" ca="1" si="38"/>
        <v>107.1006966252608</v>
      </c>
      <c r="F73" s="304">
        <f t="shared" ca="1" si="39"/>
        <v>109.44980305580903</v>
      </c>
      <c r="G73" s="306">
        <f t="shared" ca="1" si="40"/>
        <v>16.573381149648757</v>
      </c>
      <c r="H73" s="307">
        <f t="shared" ca="1" si="41"/>
        <v>85.81006144080493</v>
      </c>
      <c r="I73" s="304">
        <f t="shared" ca="1" si="42"/>
        <v>87.395901546961852</v>
      </c>
      <c r="J73" s="306">
        <f t="shared" ca="1" si="43"/>
        <v>5.5692364736068809</v>
      </c>
      <c r="K73" s="307">
        <f t="shared" ca="1" si="44"/>
        <v>29.82528273047922</v>
      </c>
      <c r="L73" s="304">
        <f t="shared" ca="1" si="29"/>
        <v>30.340795718833334</v>
      </c>
      <c r="M73" s="306">
        <f t="shared" ca="1" si="45"/>
        <v>1.380005247309714</v>
      </c>
      <c r="N73" s="304">
        <f t="shared" ca="1" si="46"/>
        <v>79.06847637675402</v>
      </c>
      <c r="P73" s="310">
        <f t="shared" ca="1" si="47"/>
        <v>12</v>
      </c>
      <c r="Q73" s="304">
        <f t="shared" ca="1" si="48"/>
        <v>61.29999999999999</v>
      </c>
      <c r="R73" s="306">
        <f t="shared" ca="1" si="49"/>
        <v>3.3227837034446581E-2</v>
      </c>
      <c r="S73" s="307">
        <f t="shared" ca="1" si="50"/>
        <v>0.43401741563210361</v>
      </c>
      <c r="T73" s="304">
        <f t="shared" ca="1" si="30"/>
        <v>4.2577108473509364</v>
      </c>
      <c r="U73" s="311">
        <f t="shared" ca="1" si="31"/>
        <v>0</v>
      </c>
      <c r="V73" s="306">
        <f t="shared" ca="1" si="32"/>
        <v>1.2213518432308708</v>
      </c>
      <c r="W73" s="304">
        <f t="shared" ca="1" si="33"/>
        <v>9.8678585906018643</v>
      </c>
      <c r="Y73" s="314" t="str">
        <f t="shared" ca="1" si="51"/>
        <v/>
      </c>
      <c r="Z73" s="315" t="str">
        <f t="shared" ca="1" si="52"/>
        <v/>
      </c>
      <c r="AA73" s="316" t="str">
        <f t="shared" ca="1" si="53"/>
        <v/>
      </c>
      <c r="AC73" s="310" t="e">
        <f t="shared" ca="1" si="54"/>
        <v>#N/A</v>
      </c>
      <c r="AD73" s="323" t="e">
        <f t="shared" ca="1" si="55"/>
        <v>#N/A</v>
      </c>
      <c r="AE73" s="324">
        <f t="shared" ca="1" si="34"/>
        <v>29.82528273047922</v>
      </c>
      <c r="AG73" s="306">
        <f t="shared" ca="1" si="56"/>
        <v>109.43402666465224</v>
      </c>
      <c r="AH73" s="304">
        <f t="shared" ca="1" si="57"/>
        <v>119.0664148983373</v>
      </c>
    </row>
    <row r="74" spans="1:34" x14ac:dyDescent="0.3">
      <c r="A74" s="347">
        <f t="shared" ca="1" si="35"/>
        <v>0.01</v>
      </c>
      <c r="B74" s="304">
        <f t="shared" ca="1" si="36"/>
        <v>0.7000000000000004</v>
      </c>
      <c r="D74" s="306">
        <f t="shared" ca="1" si="37"/>
        <v>22.402007383816692</v>
      </c>
      <c r="E74" s="307">
        <f t="shared" ca="1" si="38"/>
        <v>106.17825928428108</v>
      </c>
      <c r="F74" s="304">
        <f t="shared" ca="1" si="39"/>
        <v>108.51577157014826</v>
      </c>
      <c r="G74" s="306">
        <f t="shared" ca="1" si="40"/>
        <v>16.797401223486922</v>
      </c>
      <c r="H74" s="307">
        <f t="shared" ca="1" si="41"/>
        <v>86.871844033647747</v>
      </c>
      <c r="I74" s="304">
        <f t="shared" ca="1" si="42"/>
        <v>88.480901745343999</v>
      </c>
      <c r="J74" s="306">
        <f t="shared" ca="1" si="43"/>
        <v>5.7360903854725596</v>
      </c>
      <c r="K74" s="307">
        <f t="shared" ca="1" si="44"/>
        <v>30.688692257851482</v>
      </c>
      <c r="L74" s="304">
        <f t="shared" ca="1" si="29"/>
        <v>31.220162802385005</v>
      </c>
      <c r="M74" s="306">
        <f t="shared" ca="1" si="45"/>
        <v>1.3797949956068021</v>
      </c>
      <c r="N74" s="304">
        <f t="shared" ca="1" si="46"/>
        <v>79.056429841541728</v>
      </c>
      <c r="P74" s="310">
        <f t="shared" ca="1" si="47"/>
        <v>12</v>
      </c>
      <c r="Q74" s="304">
        <f t="shared" ca="1" si="48"/>
        <v>61.099999999999994</v>
      </c>
      <c r="R74" s="306">
        <f t="shared" ca="1" si="49"/>
        <v>3.3119426473159644E-2</v>
      </c>
      <c r="S74" s="307">
        <f t="shared" ca="1" si="50"/>
        <v>0.433686221367372</v>
      </c>
      <c r="T74" s="304">
        <f t="shared" ca="1" si="30"/>
        <v>4.25446183161392</v>
      </c>
      <c r="U74" s="311">
        <f t="shared" ca="1" si="31"/>
        <v>0</v>
      </c>
      <c r="V74" s="306">
        <f t="shared" ca="1" si="32"/>
        <v>1.2212463948600631</v>
      </c>
      <c r="W74" s="304">
        <f t="shared" ca="1" si="33"/>
        <v>10.113520669679872</v>
      </c>
      <c r="Y74" s="314" t="str">
        <f t="shared" ca="1" si="51"/>
        <v/>
      </c>
      <c r="Z74" s="315" t="str">
        <f t="shared" ca="1" si="52"/>
        <v/>
      </c>
      <c r="AA74" s="316" t="str">
        <f t="shared" ca="1" si="53"/>
        <v/>
      </c>
      <c r="AC74" s="310" t="e">
        <f t="shared" ca="1" si="54"/>
        <v>#N/A</v>
      </c>
      <c r="AD74" s="323" t="e">
        <f t="shared" ca="1" si="55"/>
        <v>#N/A</v>
      </c>
      <c r="AE74" s="324">
        <f t="shared" ca="1" si="34"/>
        <v>30.688692257851482</v>
      </c>
      <c r="AG74" s="306">
        <f t="shared" ca="1" si="56"/>
        <v>108.49982426985736</v>
      </c>
      <c r="AH74" s="304">
        <f t="shared" ca="1" si="57"/>
        <v>118.13181716464958</v>
      </c>
    </row>
    <row r="75" spans="1:34" x14ac:dyDescent="0.3">
      <c r="A75" s="347">
        <f t="shared" ca="1" si="35"/>
        <v>0.01</v>
      </c>
      <c r="B75" s="304">
        <f t="shared" ca="1" si="36"/>
        <v>0.71000000000000041</v>
      </c>
      <c r="D75" s="306">
        <f t="shared" ca="1" si="37"/>
        <v>22.279186496381826</v>
      </c>
      <c r="E75" s="307">
        <f t="shared" ca="1" si="38"/>
        <v>105.41222924603466</v>
      </c>
      <c r="F75" s="304">
        <f t="shared" ca="1" si="39"/>
        <v>107.74089393335812</v>
      </c>
      <c r="G75" s="306">
        <f t="shared" ca="1" si="40"/>
        <v>17.020193088450739</v>
      </c>
      <c r="H75" s="307">
        <f t="shared" ca="1" si="41"/>
        <v>87.925966326108096</v>
      </c>
      <c r="I75" s="304">
        <f t="shared" ca="1" si="42"/>
        <v>89.55815165102527</v>
      </c>
      <c r="J75" s="306">
        <f t="shared" ca="1" si="43"/>
        <v>5.9051783570322476</v>
      </c>
      <c r="K75" s="307">
        <f t="shared" ca="1" si="44"/>
        <v>31.562681309650262</v>
      </c>
      <c r="L75" s="304">
        <f t="shared" ca="1" si="29"/>
        <v>32.110340746913728</v>
      </c>
      <c r="M75" s="306">
        <f t="shared" ca="1" si="45"/>
        <v>1.379587046794341</v>
      </c>
      <c r="N75" s="304">
        <f t="shared" ca="1" si="46"/>
        <v>79.044515252232941</v>
      </c>
      <c r="P75" s="310">
        <f t="shared" ca="1" si="47"/>
        <v>13</v>
      </c>
      <c r="Q75" s="304">
        <f t="shared" ca="1" si="48"/>
        <v>60.970588235294116</v>
      </c>
      <c r="R75" s="306">
        <f t="shared" ca="1" si="49"/>
        <v>3.3049278462915152E-2</v>
      </c>
      <c r="S75" s="307">
        <f t="shared" ca="1" si="50"/>
        <v>0.43335572858274285</v>
      </c>
      <c r="T75" s="304">
        <f t="shared" ca="1" si="30"/>
        <v>4.2512196973967074</v>
      </c>
      <c r="U75" s="311">
        <f t="shared" ca="1" si="31"/>
        <v>0</v>
      </c>
      <c r="V75" s="306">
        <f t="shared" ca="1" si="32"/>
        <v>1.221139663667838</v>
      </c>
      <c r="W75" s="304">
        <f t="shared" ca="1" si="33"/>
        <v>10.360377330236062</v>
      </c>
      <c r="Y75" s="314" t="str">
        <f t="shared" ca="1" si="51"/>
        <v/>
      </c>
      <c r="Z75" s="315" t="str">
        <f t="shared" ca="1" si="52"/>
        <v/>
      </c>
      <c r="AA75" s="316" t="str">
        <f t="shared" ca="1" si="53"/>
        <v/>
      </c>
      <c r="AC75" s="310" t="e">
        <f t="shared" ca="1" si="54"/>
        <v>#N/A</v>
      </c>
      <c r="AD75" s="323" t="e">
        <f t="shared" ca="1" si="55"/>
        <v>#N/A</v>
      </c>
      <c r="AE75" s="324">
        <f t="shared" ca="1" si="34"/>
        <v>31.562681309650262</v>
      </c>
      <c r="AG75" s="306">
        <f t="shared" ca="1" si="56"/>
        <v>107.72479693127481</v>
      </c>
      <c r="AH75" s="304">
        <f t="shared" ca="1" si="57"/>
        <v>117.35639847646283</v>
      </c>
    </row>
    <row r="76" spans="1:34" x14ac:dyDescent="0.3">
      <c r="A76" s="347">
        <f t="shared" ca="1" si="35"/>
        <v>0.01</v>
      </c>
      <c r="B76" s="304">
        <f t="shared" ca="1" si="36"/>
        <v>0.72000000000000042</v>
      </c>
      <c r="D76" s="306">
        <f t="shared" ca="1" si="37"/>
        <v>22.185995139068059</v>
      </c>
      <c r="E76" s="307">
        <f t="shared" ca="1" si="38"/>
        <v>104.80239313627912</v>
      </c>
      <c r="F76" s="304">
        <f t="shared" ca="1" si="39"/>
        <v>107.12497368682037</v>
      </c>
      <c r="G76" s="306">
        <f t="shared" ca="1" si="40"/>
        <v>17.242053039841419</v>
      </c>
      <c r="H76" s="307">
        <f t="shared" ca="1" si="41"/>
        <v>88.973990257470888</v>
      </c>
      <c r="I76" s="304">
        <f t="shared" ca="1" si="42"/>
        <v>90.629241061399327</v>
      </c>
      <c r="J76" s="306">
        <f t="shared" ca="1" si="43"/>
        <v>6.0764895876737084</v>
      </c>
      <c r="K76" s="307">
        <f t="shared" ca="1" si="44"/>
        <v>32.447181092568158</v>
      </c>
      <c r="L76" s="304">
        <f t="shared" ca="1" si="29"/>
        <v>33.011259996598426</v>
      </c>
      <c r="M76" s="306">
        <f t="shared" ca="1" si="45"/>
        <v>1.3793813346041117</v>
      </c>
      <c r="N76" s="304">
        <f t="shared" ca="1" si="46"/>
        <v>79.032728811938412</v>
      </c>
      <c r="P76" s="310">
        <f t="shared" ca="1" si="47"/>
        <v>13</v>
      </c>
      <c r="Q76" s="304">
        <f t="shared" ca="1" si="48"/>
        <v>60.911764705882348</v>
      </c>
      <c r="R76" s="306">
        <f t="shared" ca="1" si="49"/>
        <v>3.3017393003713112E-2</v>
      </c>
      <c r="S76" s="307">
        <f t="shared" ca="1" si="50"/>
        <v>0.4330255546527057</v>
      </c>
      <c r="T76" s="304">
        <f t="shared" ca="1" si="30"/>
        <v>4.2479806911430433</v>
      </c>
      <c r="U76" s="311">
        <f t="shared" ca="1" si="31"/>
        <v>0</v>
      </c>
      <c r="V76" s="306">
        <f t="shared" ca="1" si="32"/>
        <v>1.2210316583911016</v>
      </c>
      <c r="W76" s="304">
        <f t="shared" ca="1" si="33"/>
        <v>10.608735027645992</v>
      </c>
      <c r="Y76" s="314" t="str">
        <f t="shared" ca="1" si="51"/>
        <v/>
      </c>
      <c r="Z76" s="315" t="str">
        <f t="shared" ca="1" si="52"/>
        <v/>
      </c>
      <c r="AA76" s="316" t="str">
        <f t="shared" ca="1" si="53"/>
        <v/>
      </c>
      <c r="AC76" s="310" t="e">
        <f t="shared" ca="1" si="54"/>
        <v>#N/A</v>
      </c>
      <c r="AD76" s="323" t="e">
        <f t="shared" ca="1" si="55"/>
        <v>#N/A</v>
      </c>
      <c r="AE76" s="324">
        <f t="shared" ca="1" si="34"/>
        <v>32.447181092568158</v>
      </c>
      <c r="AG76" s="306">
        <f t="shared" ca="1" si="56"/>
        <v>107.10874927723647</v>
      </c>
      <c r="AH76" s="304">
        <f t="shared" ca="1" si="57"/>
        <v>116.73996334047631</v>
      </c>
    </row>
    <row r="77" spans="1:34" x14ac:dyDescent="0.3">
      <c r="A77" s="347">
        <f t="shared" ca="1" si="35"/>
        <v>0.01</v>
      </c>
      <c r="B77" s="304">
        <f t="shared" ca="1" si="36"/>
        <v>0.73000000000000043</v>
      </c>
      <c r="D77" s="306">
        <f t="shared" ca="1" si="37"/>
        <v>22.091440904833597</v>
      </c>
      <c r="E77" s="307">
        <f t="shared" ca="1" si="38"/>
        <v>104.18823694419139</v>
      </c>
      <c r="F77" s="304">
        <f t="shared" ca="1" si="39"/>
        <v>106.50455614099673</v>
      </c>
      <c r="G77" s="306">
        <f t="shared" ca="1" si="40"/>
        <v>17.462967448889756</v>
      </c>
      <c r="H77" s="307">
        <f t="shared" ca="1" si="41"/>
        <v>90.015872626912795</v>
      </c>
      <c r="I77" s="304">
        <f t="shared" ca="1" si="42"/>
        <v>91.694124985767615</v>
      </c>
      <c r="J77" s="306">
        <f t="shared" ca="1" si="43"/>
        <v>6.2500146901173643</v>
      </c>
      <c r="K77" s="307">
        <f t="shared" ca="1" si="44"/>
        <v>33.34213040699008</v>
      </c>
      <c r="L77" s="304">
        <f t="shared" ca="1" si="29"/>
        <v>33.922858719503807</v>
      </c>
      <c r="M77" s="306">
        <f t="shared" ca="1" si="45"/>
        <v>1.3791777953712046</v>
      </c>
      <c r="N77" s="304">
        <f t="shared" ca="1" si="46"/>
        <v>79.021066872927506</v>
      </c>
      <c r="P77" s="310">
        <f t="shared" ca="1" si="47"/>
        <v>13</v>
      </c>
      <c r="Q77" s="304">
        <f t="shared" ca="1" si="48"/>
        <v>60.852941176470587</v>
      </c>
      <c r="R77" s="306">
        <f t="shared" ca="1" si="49"/>
        <v>3.2985507544511072E-2</v>
      </c>
      <c r="S77" s="307">
        <f t="shared" ca="1" si="50"/>
        <v>0.43269569957726062</v>
      </c>
      <c r="T77" s="304">
        <f t="shared" ca="1" si="30"/>
        <v>4.244744812852927</v>
      </c>
      <c r="U77" s="311">
        <f t="shared" ca="1" si="31"/>
        <v>0</v>
      </c>
      <c r="V77" s="306">
        <f t="shared" ca="1" si="32"/>
        <v>1.2209223868406294</v>
      </c>
      <c r="W77" s="304">
        <f t="shared" ca="1" si="33"/>
        <v>10.858530852032187</v>
      </c>
      <c r="Y77" s="314" t="str">
        <f t="shared" ca="1" si="51"/>
        <v/>
      </c>
      <c r="Z77" s="315" t="str">
        <f t="shared" ca="1" si="52"/>
        <v/>
      </c>
      <c r="AA77" s="316" t="str">
        <f t="shared" ca="1" si="53"/>
        <v/>
      </c>
      <c r="AC77" s="310" t="e">
        <f t="shared" ca="1" si="54"/>
        <v>#N/A</v>
      </c>
      <c r="AD77" s="323" t="e">
        <f t="shared" ca="1" si="55"/>
        <v>#N/A</v>
      </c>
      <c r="AE77" s="324">
        <f t="shared" ca="1" si="34"/>
        <v>33.34213040699008</v>
      </c>
      <c r="AG77" s="306">
        <f t="shared" ca="1" si="56"/>
        <v>106.4882025006136</v>
      </c>
      <c r="AH77" s="304">
        <f t="shared" ca="1" si="57"/>
        <v>116.11903283973629</v>
      </c>
    </row>
    <row r="78" spans="1:34" x14ac:dyDescent="0.3">
      <c r="A78" s="347">
        <f t="shared" ca="1" si="35"/>
        <v>0.01</v>
      </c>
      <c r="B78" s="304">
        <f t="shared" ca="1" si="36"/>
        <v>0.74000000000000044</v>
      </c>
      <c r="D78" s="306">
        <f t="shared" ca="1" si="37"/>
        <v>21.995558435883446</v>
      </c>
      <c r="E78" s="307">
        <f t="shared" ca="1" si="38"/>
        <v>103.56989332667398</v>
      </c>
      <c r="F78" s="304">
        <f t="shared" ca="1" si="39"/>
        <v>105.87977802491366</v>
      </c>
      <c r="G78" s="306">
        <f t="shared" ca="1" si="40"/>
        <v>17.682923033248592</v>
      </c>
      <c r="H78" s="307">
        <f t="shared" ca="1" si="41"/>
        <v>91.051571560179539</v>
      </c>
      <c r="I78" s="304">
        <f t="shared" ca="1" si="42"/>
        <v>92.752759800333109</v>
      </c>
      <c r="J78" s="306">
        <f t="shared" ca="1" si="43"/>
        <v>6.4257441425280559</v>
      </c>
      <c r="K78" s="307">
        <f t="shared" ca="1" si="44"/>
        <v>34.247467627925545</v>
      </c>
      <c r="L78" s="304">
        <f t="shared" ca="1" si="29"/>
        <v>34.845074640629512</v>
      </c>
      <c r="M78" s="306">
        <f t="shared" ca="1" si="45"/>
        <v>1.3789763678985252</v>
      </c>
      <c r="N78" s="304">
        <f t="shared" ca="1" si="46"/>
        <v>79.009525928864988</v>
      </c>
      <c r="P78" s="310">
        <f t="shared" ca="1" si="47"/>
        <v>13</v>
      </c>
      <c r="Q78" s="304">
        <f t="shared" ca="1" si="48"/>
        <v>60.794117647058819</v>
      </c>
      <c r="R78" s="306">
        <f t="shared" ca="1" si="49"/>
        <v>3.2953622085309033E-2</v>
      </c>
      <c r="S78" s="307">
        <f t="shared" ca="1" si="50"/>
        <v>0.43236616335640754</v>
      </c>
      <c r="T78" s="304">
        <f t="shared" ca="1" si="30"/>
        <v>4.2415120625263585</v>
      </c>
      <c r="U78" s="311">
        <f t="shared" ca="1" si="31"/>
        <v>0</v>
      </c>
      <c r="V78" s="306">
        <f t="shared" ca="1" si="32"/>
        <v>1.2208118568803745</v>
      </c>
      <c r="W78" s="304">
        <f t="shared" ca="1" si="33"/>
        <v>11.109702042521301</v>
      </c>
      <c r="Y78" s="314" t="str">
        <f t="shared" ca="1" si="51"/>
        <v/>
      </c>
      <c r="Z78" s="315" t="str">
        <f t="shared" ca="1" si="52"/>
        <v/>
      </c>
      <c r="AA78" s="316" t="str">
        <f t="shared" ca="1" si="53"/>
        <v/>
      </c>
      <c r="AC78" s="310" t="e">
        <f t="shared" ca="1" si="54"/>
        <v>#N/A</v>
      </c>
      <c r="AD78" s="323" t="e">
        <f t="shared" ca="1" si="55"/>
        <v>#N/A</v>
      </c>
      <c r="AE78" s="324">
        <f t="shared" ca="1" si="34"/>
        <v>34.247467627925545</v>
      </c>
      <c r="AG78" s="306">
        <f t="shared" ca="1" si="56"/>
        <v>105.86329329353984</v>
      </c>
      <c r="AH78" s="304">
        <f t="shared" ca="1" si="57"/>
        <v>115.49374356074156</v>
      </c>
    </row>
    <row r="79" spans="1:34" x14ac:dyDescent="0.3">
      <c r="A79" s="347">
        <f t="shared" ca="1" si="35"/>
        <v>0.01</v>
      </c>
      <c r="B79" s="304">
        <f t="shared" ca="1" si="36"/>
        <v>0.75000000000000044</v>
      </c>
      <c r="D79" s="306">
        <f t="shared" ca="1" si="37"/>
        <v>21.898382121546248</v>
      </c>
      <c r="E79" s="307">
        <f t="shared" ca="1" si="38"/>
        <v>102.94749507268101</v>
      </c>
      <c r="F79" s="304">
        <f t="shared" ca="1" si="39"/>
        <v>105.25077615524238</v>
      </c>
      <c r="G79" s="306">
        <f t="shared" ca="1" si="40"/>
        <v>17.901906854464055</v>
      </c>
      <c r="H79" s="307">
        <f t="shared" ca="1" si="41"/>
        <v>92.081046510906347</v>
      </c>
      <c r="I79" s="304">
        <f t="shared" ca="1" si="42"/>
        <v>93.805103249074918</v>
      </c>
      <c r="J79" s="306">
        <f t="shared" ca="1" si="43"/>
        <v>6.6036682919666188</v>
      </c>
      <c r="K79" s="307">
        <f t="shared" ca="1" si="44"/>
        <v>35.163130718280975</v>
      </c>
      <c r="L79" s="304">
        <f t="shared" ca="1" si="29"/>
        <v>35.777845055582098</v>
      </c>
      <c r="M79" s="306">
        <f t="shared" ca="1" si="45"/>
        <v>1.3787769933300438</v>
      </c>
      <c r="N79" s="304">
        <f t="shared" ca="1" si="46"/>
        <v>78.998102607548759</v>
      </c>
      <c r="P79" s="310">
        <f t="shared" ca="1" si="47"/>
        <v>13</v>
      </c>
      <c r="Q79" s="304">
        <f t="shared" ca="1" si="48"/>
        <v>60.735294117647058</v>
      </c>
      <c r="R79" s="306">
        <f t="shared" ca="1" si="49"/>
        <v>3.2921736626106993E-2</v>
      </c>
      <c r="S79" s="307">
        <f t="shared" ca="1" si="50"/>
        <v>0.43203694599014647</v>
      </c>
      <c r="T79" s="304">
        <f t="shared" ca="1" si="30"/>
        <v>4.2382824401633368</v>
      </c>
      <c r="U79" s="311">
        <f t="shared" ca="1" si="31"/>
        <v>0</v>
      </c>
      <c r="V79" s="306">
        <f t="shared" ca="1" si="32"/>
        <v>1.220700076425747</v>
      </c>
      <c r="W79" s="304">
        <f t="shared" ca="1" si="33"/>
        <v>11.3621860139784</v>
      </c>
      <c r="Y79" s="314" t="str">
        <f t="shared" ca="1" si="51"/>
        <v/>
      </c>
      <c r="Z79" s="315" t="str">
        <f t="shared" ca="1" si="52"/>
        <v/>
      </c>
      <c r="AA79" s="316" t="str">
        <f t="shared" ca="1" si="53"/>
        <v/>
      </c>
      <c r="AC79" s="310" t="e">
        <f t="shared" ca="1" si="54"/>
        <v>#N/A</v>
      </c>
      <c r="AD79" s="323" t="e">
        <f t="shared" ca="1" si="55"/>
        <v>#N/A</v>
      </c>
      <c r="AE79" s="324">
        <f t="shared" ca="1" si="34"/>
        <v>35.163130718280975</v>
      </c>
      <c r="AG79" s="306">
        <f t="shared" ca="1" si="56"/>
        <v>105.23415843551385</v>
      </c>
      <c r="AH79" s="304">
        <f t="shared" ca="1" si="57"/>
        <v>114.86423218133196</v>
      </c>
    </row>
    <row r="80" spans="1:34" x14ac:dyDescent="0.3">
      <c r="A80" s="347">
        <f t="shared" ca="1" si="35"/>
        <v>0.01</v>
      </c>
      <c r="B80" s="304">
        <f t="shared" ca="1" si="36"/>
        <v>0.76000000000000045</v>
      </c>
      <c r="D80" s="306">
        <f t="shared" ca="1" si="37"/>
        <v>21.799946102849415</v>
      </c>
      <c r="E80" s="307">
        <f t="shared" ca="1" si="38"/>
        <v>102.32117503910872</v>
      </c>
      <c r="F80" s="304">
        <f t="shared" ca="1" si="39"/>
        <v>104.6176873739382</v>
      </c>
      <c r="G80" s="306">
        <f t="shared" ca="1" si="40"/>
        <v>18.11990631549255</v>
      </c>
      <c r="H80" s="307">
        <f t="shared" ca="1" si="41"/>
        <v>93.104258261297431</v>
      </c>
      <c r="I80" s="304">
        <f t="shared" ca="1" si="42"/>
        <v>94.851114443999009</v>
      </c>
      <c r="J80" s="306">
        <f t="shared" ca="1" si="43"/>
        <v>6.783777357816402</v>
      </c>
      <c r="K80" s="307">
        <f t="shared" ca="1" si="44"/>
        <v>36.08905724214199</v>
      </c>
      <c r="L80" s="304">
        <f t="shared" ca="1" si="29"/>
        <v>36.721106844252716</v>
      </c>
      <c r="M80" s="306">
        <f t="shared" ca="1" si="45"/>
        <v>1.3785796150321168</v>
      </c>
      <c r="N80" s="304">
        <f t="shared" ca="1" si="46"/>
        <v>78.986793664110067</v>
      </c>
      <c r="P80" s="310">
        <f t="shared" ca="1" si="47"/>
        <v>13</v>
      </c>
      <c r="Q80" s="304">
        <f t="shared" ca="1" si="48"/>
        <v>60.67647058823529</v>
      </c>
      <c r="R80" s="306">
        <f t="shared" ca="1" si="49"/>
        <v>3.2889851166904953E-2</v>
      </c>
      <c r="S80" s="307">
        <f t="shared" ca="1" si="50"/>
        <v>0.43170804747847741</v>
      </c>
      <c r="T80" s="304">
        <f t="shared" ca="1" si="30"/>
        <v>4.2350559457638637</v>
      </c>
      <c r="U80" s="311">
        <f t="shared" ca="1" si="31"/>
        <v>0</v>
      </c>
      <c r="V80" s="306">
        <f t="shared" ca="1" si="32"/>
        <v>1.220587053441885</v>
      </c>
      <c r="W80" s="304">
        <f t="shared" ca="1" si="33"/>
        <v>11.615920383293693</v>
      </c>
      <c r="Y80" s="314" t="str">
        <f t="shared" ca="1" si="51"/>
        <v/>
      </c>
      <c r="Z80" s="315" t="str">
        <f t="shared" ca="1" si="52"/>
        <v/>
      </c>
      <c r="AA80" s="316" t="str">
        <f t="shared" ca="1" si="53"/>
        <v/>
      </c>
      <c r="AC80" s="310" t="e">
        <f t="shared" ca="1" si="54"/>
        <v>#N/A</v>
      </c>
      <c r="AD80" s="323" t="e">
        <f t="shared" ca="1" si="55"/>
        <v>#N/A</v>
      </c>
      <c r="AE80" s="324">
        <f t="shared" ca="1" si="34"/>
        <v>36.08905724214199</v>
      </c>
      <c r="AG80" s="306">
        <f t="shared" ca="1" si="56"/>
        <v>104.60093473101179</v>
      </c>
      <c r="AH80" s="304">
        <f t="shared" ca="1" si="57"/>
        <v>114.23063540810048</v>
      </c>
    </row>
    <row r="81" spans="1:34" x14ac:dyDescent="0.3">
      <c r="A81" s="347">
        <f t="shared" ca="1" si="35"/>
        <v>0.01</v>
      </c>
      <c r="B81" s="304">
        <f t="shared" ca="1" si="36"/>
        <v>0.77000000000000046</v>
      </c>
      <c r="D81" s="306">
        <f t="shared" ca="1" si="37"/>
        <v>21.700284276093782</v>
      </c>
      <c r="E81" s="307">
        <f t="shared" ca="1" si="38"/>
        <v>101.69106608760842</v>
      </c>
      <c r="F81" s="304">
        <f t="shared" ca="1" si="39"/>
        <v>103.98064848661807</v>
      </c>
      <c r="G81" s="306">
        <f t="shared" ca="1" si="40"/>
        <v>18.336909158253487</v>
      </c>
      <c r="H81" s="307">
        <f t="shared" ca="1" si="41"/>
        <v>94.12116892217351</v>
      </c>
      <c r="I81" s="304">
        <f t="shared" ca="1" si="42"/>
        <v>95.890753864772378</v>
      </c>
      <c r="J81" s="306">
        <f t="shared" ca="1" si="43"/>
        <v>6.9660614351851322</v>
      </c>
      <c r="K81" s="307">
        <f t="shared" ca="1" si="44"/>
        <v>37.025184378059343</v>
      </c>
      <c r="L81" s="304">
        <f t="shared" ca="1" si="29"/>
        <v>37.674796484494287</v>
      </c>
      <c r="M81" s="306">
        <f t="shared" ca="1" si="45"/>
        <v>1.3783841784822686</v>
      </c>
      <c r="N81" s="304">
        <f t="shared" ca="1" si="46"/>
        <v>78.975595974641166</v>
      </c>
      <c r="P81" s="310">
        <f t="shared" ca="1" si="47"/>
        <v>13</v>
      </c>
      <c r="Q81" s="304">
        <f t="shared" ca="1" si="48"/>
        <v>60.617647058823529</v>
      </c>
      <c r="R81" s="306">
        <f t="shared" ca="1" si="49"/>
        <v>3.2857965707702913E-2</v>
      </c>
      <c r="S81" s="307">
        <f t="shared" ca="1" si="50"/>
        <v>0.43137946782140035</v>
      </c>
      <c r="T81" s="304">
        <f t="shared" ca="1" si="30"/>
        <v>4.2318325793279374</v>
      </c>
      <c r="U81" s="311">
        <f t="shared" ca="1" si="31"/>
        <v>0</v>
      </c>
      <c r="V81" s="306">
        <f t="shared" ca="1" si="32"/>
        <v>1.2204727959419361</v>
      </c>
      <c r="W81" s="304">
        <f t="shared" ca="1" si="33"/>
        <v>11.870842995206022</v>
      </c>
      <c r="Y81" s="314" t="str">
        <f t="shared" ca="1" si="51"/>
        <v/>
      </c>
      <c r="Z81" s="315" t="str">
        <f t="shared" ca="1" si="52"/>
        <v/>
      </c>
      <c r="AA81" s="316" t="str">
        <f t="shared" ca="1" si="53"/>
        <v/>
      </c>
      <c r="AC81" s="310" t="e">
        <f t="shared" ca="1" si="54"/>
        <v>#N/A</v>
      </c>
      <c r="AD81" s="323" t="e">
        <f t="shared" ca="1" si="55"/>
        <v>#N/A</v>
      </c>
      <c r="AE81" s="324">
        <f t="shared" ca="1" si="34"/>
        <v>37.025184378059343</v>
      </c>
      <c r="AG81" s="306">
        <f t="shared" ca="1" si="56"/>
        <v>103.96375894783829</v>
      </c>
      <c r="AH81" s="304">
        <f t="shared" ca="1" si="57"/>
        <v>113.59308991455644</v>
      </c>
    </row>
    <row r="82" spans="1:34" x14ac:dyDescent="0.3">
      <c r="A82" s="347">
        <f t="shared" ca="1" si="35"/>
        <v>0.01</v>
      </c>
      <c r="B82" s="304">
        <f t="shared" ca="1" si="36"/>
        <v>0.78000000000000047</v>
      </c>
      <c r="D82" s="306">
        <f t="shared" ca="1" si="37"/>
        <v>21.599430295521813</v>
      </c>
      <c r="E82" s="307">
        <f t="shared" ca="1" si="38"/>
        <v>101.05730102234695</v>
      </c>
      <c r="F82" s="304">
        <f t="shared" ca="1" si="39"/>
        <v>103.33979620171675</v>
      </c>
      <c r="G82" s="306">
        <f t="shared" ca="1" si="40"/>
        <v>18.552903461208704</v>
      </c>
      <c r="H82" s="307">
        <f t="shared" ca="1" si="41"/>
        <v>95.131741932396977</v>
      </c>
      <c r="I82" s="304">
        <f t="shared" ca="1" si="42"/>
        <v>96.923983357748497</v>
      </c>
      <c r="J82" s="306">
        <f t="shared" ca="1" si="43"/>
        <v>7.1505104982824435</v>
      </c>
      <c r="K82" s="307">
        <f t="shared" ca="1" si="44"/>
        <v>37.971448932332194</v>
      </c>
      <c r="L82" s="304">
        <f t="shared" ca="1" si="29"/>
        <v>38.638850065792063</v>
      </c>
      <c r="M82" s="306">
        <f t="shared" ca="1" si="45"/>
        <v>1.3781906311648784</v>
      </c>
      <c r="N82" s="304">
        <f t="shared" ca="1" si="46"/>
        <v>78.964506530218628</v>
      </c>
      <c r="P82" s="310">
        <f t="shared" ca="1" si="47"/>
        <v>13</v>
      </c>
      <c r="Q82" s="304">
        <f t="shared" ca="1" si="48"/>
        <v>60.558823529411761</v>
      </c>
      <c r="R82" s="306">
        <f t="shared" ca="1" si="49"/>
        <v>3.2826080248500866E-2</v>
      </c>
      <c r="S82" s="307">
        <f t="shared" ca="1" si="50"/>
        <v>0.43105120701891536</v>
      </c>
      <c r="T82" s="304">
        <f t="shared" ca="1" si="30"/>
        <v>4.2286123408555598</v>
      </c>
      <c r="U82" s="311">
        <f t="shared" ca="1" si="31"/>
        <v>0</v>
      </c>
      <c r="V82" s="306">
        <f t="shared" ca="1" si="32"/>
        <v>1.2203573119853326</v>
      </c>
      <c r="W82" s="304">
        <f t="shared" ca="1" si="33"/>
        <v>12.126891947648021</v>
      </c>
      <c r="Y82" s="314" t="str">
        <f t="shared" ca="1" si="51"/>
        <v/>
      </c>
      <c r="Z82" s="315" t="str">
        <f t="shared" ca="1" si="52"/>
        <v/>
      </c>
      <c r="AA82" s="316" t="str">
        <f t="shared" ca="1" si="53"/>
        <v/>
      </c>
      <c r="AC82" s="310" t="e">
        <f t="shared" ca="1" si="54"/>
        <v>#N/A</v>
      </c>
      <c r="AD82" s="323" t="e">
        <f t="shared" ca="1" si="55"/>
        <v>#N/A</v>
      </c>
      <c r="AE82" s="324">
        <f t="shared" ca="1" si="34"/>
        <v>37.971448932332194</v>
      </c>
      <c r="AG82" s="306">
        <f t="shared" ca="1" si="56"/>
        <v>103.32276775625685</v>
      </c>
      <c r="AH82" s="304">
        <f t="shared" ca="1" si="57"/>
        <v>112.9517322800797</v>
      </c>
    </row>
    <row r="83" spans="1:34" x14ac:dyDescent="0.3">
      <c r="A83" s="347">
        <f t="shared" ca="1" si="35"/>
        <v>0.01</v>
      </c>
      <c r="B83" s="304">
        <f t="shared" ca="1" si="36"/>
        <v>0.79000000000000048</v>
      </c>
      <c r="D83" s="306">
        <f t="shared" ca="1" si="37"/>
        <v>21.497417575165354</v>
      </c>
      <c r="E83" s="307">
        <f t="shared" ca="1" si="38"/>
        <v>100.4200125287436</v>
      </c>
      <c r="F83" s="304">
        <f t="shared" ca="1" si="39"/>
        <v>102.6952670704646</v>
      </c>
      <c r="G83" s="306">
        <f t="shared" ca="1" si="40"/>
        <v>18.767877636960357</v>
      </c>
      <c r="H83" s="307">
        <f t="shared" ca="1" si="41"/>
        <v>96.135942057684417</v>
      </c>
      <c r="I83" s="304">
        <f t="shared" ca="1" si="42"/>
        <v>97.950766134392083</v>
      </c>
      <c r="J83" s="306">
        <f t="shared" ca="1" si="43"/>
        <v>7.3371144037732892</v>
      </c>
      <c r="K83" s="307">
        <f t="shared" ca="1" si="44"/>
        <v>38.9277873522826</v>
      </c>
      <c r="L83" s="304">
        <f t="shared" ca="1" si="29"/>
        <v>39.613203302921498</v>
      </c>
      <c r="M83" s="306">
        <f t="shared" ca="1" si="45"/>
        <v>1.3779989224732603</v>
      </c>
      <c r="N83" s="304">
        <f t="shared" ca="1" si="46"/>
        <v>78.953522431292939</v>
      </c>
      <c r="P83" s="310">
        <f t="shared" ca="1" si="47"/>
        <v>13</v>
      </c>
      <c r="Q83" s="304">
        <f t="shared" ca="1" si="48"/>
        <v>60.5</v>
      </c>
      <c r="R83" s="306">
        <f t="shared" ca="1" si="49"/>
        <v>3.2794194789298833E-2</v>
      </c>
      <c r="S83" s="307">
        <f t="shared" ca="1" si="50"/>
        <v>0.43072326507102238</v>
      </c>
      <c r="T83" s="304">
        <f t="shared" ca="1" si="30"/>
        <v>4.2253952303467299</v>
      </c>
      <c r="U83" s="311">
        <f t="shared" ca="1" si="31"/>
        <v>0</v>
      </c>
      <c r="V83" s="306">
        <f t="shared" ca="1" si="32"/>
        <v>1.2202406096760681</v>
      </c>
      <c r="W83" s="304">
        <f t="shared" ca="1" si="33"/>
        <v>12.384005616598607</v>
      </c>
      <c r="Y83" s="314" t="str">
        <f t="shared" ca="1" si="51"/>
        <v/>
      </c>
      <c r="Z83" s="315" t="str">
        <f t="shared" ca="1" si="52"/>
        <v/>
      </c>
      <c r="AA83" s="316" t="str">
        <f t="shared" ca="1" si="53"/>
        <v/>
      </c>
      <c r="AC83" s="310" t="e">
        <f t="shared" ca="1" si="54"/>
        <v>#N/A</v>
      </c>
      <c r="AD83" s="323" t="e">
        <f t="shared" ca="1" si="55"/>
        <v>#N/A</v>
      </c>
      <c r="AE83" s="324">
        <f t="shared" ca="1" si="34"/>
        <v>38.9277873522826</v>
      </c>
      <c r="AG83" s="306">
        <f t="shared" ca="1" si="56"/>
        <v>102.67809766894234</v>
      </c>
      <c r="AH83" s="304">
        <f t="shared" ca="1" si="57"/>
        <v>112.30669892970766</v>
      </c>
    </row>
    <row r="84" spans="1:34" x14ac:dyDescent="0.3">
      <c r="A84" s="347">
        <f t="shared" ca="1" si="35"/>
        <v>0.01</v>
      </c>
      <c r="B84" s="304">
        <f t="shared" ca="1" si="36"/>
        <v>0.80000000000000049</v>
      </c>
      <c r="D84" s="306">
        <f t="shared" ca="1" si="37"/>
        <v>21.394279289952401</v>
      </c>
      <c r="E84" s="307">
        <f t="shared" ca="1" si="38"/>
        <v>99.779333113208352</v>
      </c>
      <c r="F84" s="304">
        <f t="shared" ca="1" si="39"/>
        <v>102.047197427725</v>
      </c>
      <c r="G84" s="306">
        <f t="shared" ca="1" si="40"/>
        <v>18.98182042985988</v>
      </c>
      <c r="H84" s="307">
        <f t="shared" ca="1" si="41"/>
        <v>97.133735388816504</v>
      </c>
      <c r="I84" s="304">
        <f t="shared" ca="1" si="42"/>
        <v>98.971066769112213</v>
      </c>
      <c r="J84" s="306">
        <f t="shared" ca="1" si="43"/>
        <v>7.52586289410739</v>
      </c>
      <c r="K84" s="307">
        <f t="shared" ca="1" si="44"/>
        <v>39.894135739515107</v>
      </c>
      <c r="L84" s="304">
        <f t="shared" ca="1" si="29"/>
        <v>40.597791549587512</v>
      </c>
      <c r="M84" s="306">
        <f t="shared" ca="1" si="45"/>
        <v>1.3778090036176742</v>
      </c>
      <c r="N84" s="304">
        <f t="shared" ca="1" si="46"/>
        <v>78.942640882417905</v>
      </c>
      <c r="P84" s="310">
        <f t="shared" ca="1" si="47"/>
        <v>13</v>
      </c>
      <c r="Q84" s="304">
        <f t="shared" ca="1" si="48"/>
        <v>60.441176470588232</v>
      </c>
      <c r="R84" s="306">
        <f t="shared" ca="1" si="49"/>
        <v>3.2762309330096787E-2</v>
      </c>
      <c r="S84" s="307">
        <f t="shared" ca="1" si="50"/>
        <v>0.4303956419777214</v>
      </c>
      <c r="T84" s="304">
        <f t="shared" ca="1" si="30"/>
        <v>4.2221812478014469</v>
      </c>
      <c r="U84" s="311">
        <f t="shared" ca="1" si="31"/>
        <v>0</v>
      </c>
      <c r="V84" s="306">
        <f t="shared" ca="1" si="32"/>
        <v>1.2201226971609844</v>
      </c>
      <c r="W84" s="304">
        <f t="shared" ca="1" si="33"/>
        <v>12.642122680429514</v>
      </c>
      <c r="Y84" s="314" t="str">
        <f t="shared" ca="1" si="51"/>
        <v/>
      </c>
      <c r="Z84" s="315" t="str">
        <f t="shared" ca="1" si="52"/>
        <v/>
      </c>
      <c r="AA84" s="316" t="str">
        <f t="shared" ca="1" si="53"/>
        <v/>
      </c>
      <c r="AC84" s="310" t="e">
        <f t="shared" ca="1" si="54"/>
        <v>#N/A</v>
      </c>
      <c r="AD84" s="323" t="e">
        <f t="shared" ca="1" si="55"/>
        <v>#N/A</v>
      </c>
      <c r="AE84" s="324">
        <f t="shared" ca="1" si="34"/>
        <v>39.894135739515107</v>
      </c>
      <c r="AG84" s="306">
        <f t="shared" ca="1" si="56"/>
        <v>102.02988498179344</v>
      </c>
      <c r="AH84" s="304">
        <f t="shared" ca="1" si="57"/>
        <v>111.65812607479239</v>
      </c>
    </row>
    <row r="85" spans="1:34" x14ac:dyDescent="0.3">
      <c r="A85" s="347">
        <f t="shared" ca="1" si="35"/>
        <v>0.01</v>
      </c>
      <c r="B85" s="304">
        <f t="shared" ca="1" si="36"/>
        <v>0.8100000000000005</v>
      </c>
      <c r="D85" s="306">
        <f t="shared" ca="1" si="37"/>
        <v>21.290048376145364</v>
      </c>
      <c r="E85" s="307">
        <f t="shared" ca="1" si="38"/>
        <v>99.135395043907863</v>
      </c>
      <c r="F85" s="304">
        <f t="shared" ca="1" si="39"/>
        <v>101.39572333372982</v>
      </c>
      <c r="G85" s="306">
        <f t="shared" ca="1" si="40"/>
        <v>19.194720913621335</v>
      </c>
      <c r="H85" s="307">
        <f t="shared" ca="1" si="41"/>
        <v>98.125089339255581</v>
      </c>
      <c r="I85" s="304">
        <f t="shared" ca="1" si="42"/>
        <v>99.984851196512281</v>
      </c>
      <c r="J85" s="306">
        <f t="shared" ca="1" si="43"/>
        <v>7.7167456008247957</v>
      </c>
      <c r="K85" s="307">
        <f t="shared" ca="1" si="44"/>
        <v>40.870429863155465</v>
      </c>
      <c r="L85" s="304">
        <f t="shared" ca="1" si="29"/>
        <v>41.592549812039159</v>
      </c>
      <c r="M85" s="306">
        <f t="shared" ca="1" si="45"/>
        <v>1.3776208275388384</v>
      </c>
      <c r="N85" s="304">
        <f t="shared" ca="1" si="46"/>
        <v>78.931859187295288</v>
      </c>
      <c r="P85" s="310">
        <f t="shared" ca="1" si="47"/>
        <v>13</v>
      </c>
      <c r="Q85" s="304">
        <f t="shared" ca="1" si="48"/>
        <v>60.382352941176471</v>
      </c>
      <c r="R85" s="306">
        <f t="shared" ca="1" si="49"/>
        <v>3.2730423870894747E-2</v>
      </c>
      <c r="S85" s="307">
        <f t="shared" ca="1" si="50"/>
        <v>0.43006833773901243</v>
      </c>
      <c r="T85" s="304">
        <f t="shared" ca="1" si="30"/>
        <v>4.2189703932197125</v>
      </c>
      <c r="U85" s="311">
        <f t="shared" ca="1" si="31"/>
        <v>0</v>
      </c>
      <c r="V85" s="306">
        <f t="shared" ca="1" si="32"/>
        <v>1.2200035826280518</v>
      </c>
      <c r="W85" s="304">
        <f t="shared" ca="1" si="33"/>
        <v>12.901182143732878</v>
      </c>
      <c r="Y85" s="314" t="str">
        <f t="shared" ca="1" si="51"/>
        <v/>
      </c>
      <c r="Z85" s="315" t="str">
        <f t="shared" ca="1" si="52"/>
        <v/>
      </c>
      <c r="AA85" s="316" t="str">
        <f t="shared" ca="1" si="53"/>
        <v/>
      </c>
      <c r="AC85" s="310" t="e">
        <f t="shared" ca="1" si="54"/>
        <v>#N/A</v>
      </c>
      <c r="AD85" s="323" t="e">
        <f t="shared" ca="1" si="55"/>
        <v>#N/A</v>
      </c>
      <c r="AE85" s="324">
        <f t="shared" ca="1" si="34"/>
        <v>40.870429863155465</v>
      </c>
      <c r="AG85" s="306">
        <f t="shared" ca="1" si="56"/>
        <v>101.37826571564355</v>
      </c>
      <c r="AH85" s="304">
        <f t="shared" ca="1" si="57"/>
        <v>111.00614965456532</v>
      </c>
    </row>
    <row r="86" spans="1:34" x14ac:dyDescent="0.3">
      <c r="A86" s="347">
        <f t="shared" ca="1" si="35"/>
        <v>0.01</v>
      </c>
      <c r="B86" s="304">
        <f t="shared" ca="1" si="36"/>
        <v>0.82000000000000051</v>
      </c>
      <c r="D86" s="306">
        <f t="shared" ca="1" si="37"/>
        <v>21.18475753117826</v>
      </c>
      <c r="E86" s="307">
        <f t="shared" ca="1" si="38"/>
        <v>98.488330292584095</v>
      </c>
      <c r="F86" s="304">
        <f t="shared" ca="1" si="39"/>
        <v>100.74098051674875</v>
      </c>
      <c r="G86" s="306">
        <f t="shared" ca="1" si="40"/>
        <v>19.406568488933118</v>
      </c>
      <c r="H86" s="307">
        <f t="shared" ca="1" si="41"/>
        <v>99.109972642181418</v>
      </c>
      <c r="I86" s="304">
        <f t="shared" ca="1" si="42"/>
        <v>100.9920867080664</v>
      </c>
      <c r="J86" s="306">
        <f t="shared" ca="1" si="43"/>
        <v>7.9097520478375678</v>
      </c>
      <c r="K86" s="307">
        <f t="shared" ca="1" si="44"/>
        <v>41.856605173062647</v>
      </c>
      <c r="L86" s="304">
        <f t="shared" ca="1" si="29"/>
        <v>42.597412762654088</v>
      </c>
      <c r="M86" s="306">
        <f t="shared" ca="1" si="45"/>
        <v>1.3774343488265512</v>
      </c>
      <c r="N86" s="304">
        <f t="shared" ca="1" si="46"/>
        <v>78.921174744112207</v>
      </c>
      <c r="P86" s="310">
        <f t="shared" ca="1" si="47"/>
        <v>13</v>
      </c>
      <c r="Q86" s="304">
        <f t="shared" ca="1" si="48"/>
        <v>60.323529411764703</v>
      </c>
      <c r="R86" s="306">
        <f t="shared" ca="1" si="49"/>
        <v>3.2698538411692707E-2</v>
      </c>
      <c r="S86" s="307">
        <f t="shared" ca="1" si="50"/>
        <v>0.42974135235489552</v>
      </c>
      <c r="T86" s="304">
        <f t="shared" ca="1" si="30"/>
        <v>4.2157626666015249</v>
      </c>
      <c r="U86" s="311">
        <f t="shared" ca="1" si="31"/>
        <v>0</v>
      </c>
      <c r="V86" s="306">
        <f t="shared" ca="1" si="32"/>
        <v>1.2198832743046604</v>
      </c>
      <c r="W86" s="304">
        <f t="shared" ca="1" si="33"/>
        <v>13.161123360618115</v>
      </c>
      <c r="Y86" s="314" t="str">
        <f t="shared" ca="1" si="51"/>
        <v/>
      </c>
      <c r="Z86" s="315" t="str">
        <f t="shared" ca="1" si="52"/>
        <v/>
      </c>
      <c r="AA86" s="316" t="str">
        <f t="shared" ca="1" si="53"/>
        <v/>
      </c>
      <c r="AC86" s="310" t="e">
        <f t="shared" ca="1" si="54"/>
        <v>#N/A</v>
      </c>
      <c r="AD86" s="323" t="e">
        <f t="shared" ca="1" si="55"/>
        <v>#N/A</v>
      </c>
      <c r="AE86" s="324">
        <f t="shared" ca="1" si="34"/>
        <v>41.856605173062647</v>
      </c>
      <c r="AG86" s="306">
        <f t="shared" ca="1" si="56"/>
        <v>100.72337555890593</v>
      </c>
      <c r="AH86" s="304">
        <f t="shared" ca="1" si="57"/>
        <v>110.35090527864487</v>
      </c>
    </row>
    <row r="87" spans="1:34" x14ac:dyDescent="0.3">
      <c r="A87" s="347">
        <f t="shared" ca="1" si="35"/>
        <v>0.01</v>
      </c>
      <c r="B87" s="304">
        <f t="shared" ca="1" si="36"/>
        <v>0.83000000000000052</v>
      </c>
      <c r="D87" s="306">
        <f t="shared" ca="1" si="37"/>
        <v>21.078439212954795</v>
      </c>
      <c r="E87" s="307">
        <f t="shared" ca="1" si="38"/>
        <v>97.838270477450195</v>
      </c>
      <c r="F87" s="304">
        <f t="shared" ca="1" si="39"/>
        <v>100.08310431672737</v>
      </c>
      <c r="G87" s="306">
        <f t="shared" ca="1" si="40"/>
        <v>19.617352881062665</v>
      </c>
      <c r="H87" s="307">
        <f t="shared" ca="1" si="41"/>
        <v>100.08835534695592</v>
      </c>
      <c r="I87" s="304">
        <f t="shared" ca="1" si="42"/>
        <v>101.99274194823208</v>
      </c>
      <c r="J87" s="306">
        <f t="shared" ca="1" si="43"/>
        <v>8.1048716546875461</v>
      </c>
      <c r="K87" s="307">
        <f t="shared" ca="1" si="44"/>
        <v>42.852596813008333</v>
      </c>
      <c r="L87" s="304">
        <f t="shared" ca="1" si="29"/>
        <v>43.612314753486885</v>
      </c>
      <c r="M87" s="306">
        <f t="shared" ca="1" si="45"/>
        <v>1.3772495236430675</v>
      </c>
      <c r="N87" s="304">
        <f t="shared" ca="1" si="46"/>
        <v>78.910585041150853</v>
      </c>
      <c r="P87" s="310">
        <f t="shared" ca="1" si="47"/>
        <v>13</v>
      </c>
      <c r="Q87" s="304">
        <f t="shared" ca="1" si="48"/>
        <v>60.264705882352935</v>
      </c>
      <c r="R87" s="306">
        <f t="shared" ca="1" si="49"/>
        <v>3.2666652952490667E-2</v>
      </c>
      <c r="S87" s="307">
        <f t="shared" ca="1" si="50"/>
        <v>0.42941468582537062</v>
      </c>
      <c r="T87" s="304">
        <f t="shared" ca="1" si="30"/>
        <v>4.2125580679468859</v>
      </c>
      <c r="U87" s="311">
        <f t="shared" ca="1" si="31"/>
        <v>0</v>
      </c>
      <c r="V87" s="306">
        <f t="shared" ca="1" si="32"/>
        <v>1.2197617804559135</v>
      </c>
      <c r="W87" s="304">
        <f t="shared" ca="1" si="33"/>
        <v>13.421886057466857</v>
      </c>
      <c r="Y87" s="314" t="str">
        <f t="shared" ca="1" si="51"/>
        <v/>
      </c>
      <c r="Z87" s="315" t="str">
        <f t="shared" ca="1" si="52"/>
        <v/>
      </c>
      <c r="AA87" s="316" t="str">
        <f t="shared" ca="1" si="53"/>
        <v/>
      </c>
      <c r="AC87" s="310" t="e">
        <f t="shared" ca="1" si="54"/>
        <v>#N/A</v>
      </c>
      <c r="AD87" s="323" t="e">
        <f t="shared" ca="1" si="55"/>
        <v>#N/A</v>
      </c>
      <c r="AE87" s="324">
        <f t="shared" ca="1" si="34"/>
        <v>42.852596813008333</v>
      </c>
      <c r="AG87" s="306">
        <f t="shared" ca="1" si="56"/>
        <v>100.06534981118762</v>
      </c>
      <c r="AH87" s="304">
        <f t="shared" ca="1" si="57"/>
        <v>109.69252817052083</v>
      </c>
    </row>
    <row r="88" spans="1:34" x14ac:dyDescent="0.3">
      <c r="A88" s="347">
        <f t="shared" ca="1" si="35"/>
        <v>0.01</v>
      </c>
      <c r="B88" s="304">
        <f t="shared" ca="1" si="36"/>
        <v>0.84000000000000052</v>
      </c>
      <c r="D88" s="306">
        <f t="shared" ca="1" si="37"/>
        <v>20.971125638663963</v>
      </c>
      <c r="E88" s="307">
        <f t="shared" ca="1" si="38"/>
        <v>97.185346807186335</v>
      </c>
      <c r="F88" s="304">
        <f t="shared" ca="1" si="39"/>
        <v>99.42222962992588</v>
      </c>
      <c r="G88" s="306">
        <f t="shared" ca="1" si="40"/>
        <v>19.827064137449305</v>
      </c>
      <c r="H88" s="307">
        <f t="shared" ca="1" si="41"/>
        <v>101.06020881502778</v>
      </c>
      <c r="I88" s="304">
        <f t="shared" ca="1" si="42"/>
        <v>102.98678691000873</v>
      </c>
      <c r="J88" s="306">
        <f t="shared" ca="1" si="43"/>
        <v>8.3020937397801067</v>
      </c>
      <c r="K88" s="307">
        <f t="shared" ca="1" si="44"/>
        <v>43.858339633818254</v>
      </c>
      <c r="L88" s="304">
        <f t="shared" ca="1" si="29"/>
        <v>44.637189829775899</v>
      </c>
      <c r="M88" s="306">
        <f t="shared" ca="1" si="45"/>
        <v>1.377066309650895</v>
      </c>
      <c r="N88" s="304">
        <f t="shared" ca="1" si="46"/>
        <v>78.900087652651635</v>
      </c>
      <c r="P88" s="310">
        <f t="shared" ca="1" si="47"/>
        <v>13</v>
      </c>
      <c r="Q88" s="304">
        <f t="shared" ca="1" si="48"/>
        <v>60.205882352941174</v>
      </c>
      <c r="R88" s="306">
        <f t="shared" ca="1" si="49"/>
        <v>3.2634767493288627E-2</v>
      </c>
      <c r="S88" s="307">
        <f t="shared" ca="1" si="50"/>
        <v>0.42908833815043773</v>
      </c>
      <c r="T88" s="304">
        <f t="shared" ca="1" si="30"/>
        <v>4.2093565972557947</v>
      </c>
      <c r="U88" s="311">
        <f t="shared" ca="1" si="31"/>
        <v>0</v>
      </c>
      <c r="V88" s="306">
        <f t="shared" ca="1" si="32"/>
        <v>1.2196391093829284</v>
      </c>
      <c r="W88" s="304">
        <f t="shared" ca="1" si="33"/>
        <v>13.683410355135518</v>
      </c>
      <c r="Y88" s="314" t="str">
        <f t="shared" ca="1" si="51"/>
        <v/>
      </c>
      <c r="Z88" s="315" t="str">
        <f t="shared" ca="1" si="52"/>
        <v/>
      </c>
      <c r="AA88" s="316" t="str">
        <f t="shared" ca="1" si="53"/>
        <v/>
      </c>
      <c r="AC88" s="310" t="e">
        <f t="shared" ca="1" si="54"/>
        <v>#N/A</v>
      </c>
      <c r="AD88" s="323" t="e">
        <f t="shared" ca="1" si="55"/>
        <v>#N/A</v>
      </c>
      <c r="AE88" s="324">
        <f t="shared" ca="1" si="34"/>
        <v>43.858339633818254</v>
      </c>
      <c r="AG88" s="306">
        <f t="shared" ca="1" si="56"/>
        <v>99.404323327904478</v>
      </c>
      <c r="AH88" s="304">
        <f t="shared" ca="1" si="57"/>
        <v>109.03115311204733</v>
      </c>
    </row>
    <row r="89" spans="1:34" x14ac:dyDescent="0.3">
      <c r="A89" s="347">
        <f t="shared" ca="1" si="35"/>
        <v>0.01</v>
      </c>
      <c r="B89" s="304">
        <f t="shared" ca="1" si="36"/>
        <v>0.85000000000000053</v>
      </c>
      <c r="D89" s="306">
        <f t="shared" ca="1" si="37"/>
        <v>20.862848783166349</v>
      </c>
      <c r="E89" s="307">
        <f t="shared" ca="1" si="38"/>
        <v>96.529690026058475</v>
      </c>
      <c r="F89" s="304">
        <f t="shared" ca="1" si="39"/>
        <v>98.758490854590306</v>
      </c>
      <c r="G89" s="306">
        <f t="shared" ca="1" si="40"/>
        <v>20.035692625280969</v>
      </c>
      <c r="H89" s="307">
        <f t="shared" ca="1" si="41"/>
        <v>102.02550571528836</v>
      </c>
      <c r="I89" s="304">
        <f t="shared" ca="1" si="42"/>
        <v>103.97419292995295</v>
      </c>
      <c r="J89" s="306">
        <f t="shared" ca="1" si="43"/>
        <v>8.5014075235937572</v>
      </c>
      <c r="K89" s="307">
        <f t="shared" ca="1" si="44"/>
        <v>44.873768206469833</v>
      </c>
      <c r="L89" s="304">
        <f t="shared" ca="1" si="29"/>
        <v>45.67197174340297</v>
      </c>
      <c r="M89" s="306">
        <f t="shared" ca="1" si="45"/>
        <v>1.3768846659447092</v>
      </c>
      <c r="N89" s="304">
        <f t="shared" ca="1" si="46"/>
        <v>78.889680234912063</v>
      </c>
      <c r="P89" s="310">
        <f t="shared" ca="1" si="47"/>
        <v>13</v>
      </c>
      <c r="Q89" s="304">
        <f t="shared" ca="1" si="48"/>
        <v>60.147058823529406</v>
      </c>
      <c r="R89" s="306">
        <f t="shared" ca="1" si="49"/>
        <v>3.260288203408658E-2</v>
      </c>
      <c r="S89" s="307">
        <f t="shared" ca="1" si="50"/>
        <v>0.42876230933009685</v>
      </c>
      <c r="T89" s="304">
        <f t="shared" ca="1" si="30"/>
        <v>4.2061582545282503</v>
      </c>
      <c r="U89" s="311">
        <f t="shared" ca="1" si="31"/>
        <v>0</v>
      </c>
      <c r="V89" s="306">
        <f t="shared" ca="1" si="32"/>
        <v>1.2195152694211409</v>
      </c>
      <c r="W89" s="304">
        <f t="shared" ca="1" si="33"/>
        <v>13.945636790595932</v>
      </c>
      <c r="Y89" s="314" t="str">
        <f t="shared" ca="1" si="51"/>
        <v/>
      </c>
      <c r="Z89" s="315" t="str">
        <f t="shared" ca="1" si="52"/>
        <v/>
      </c>
      <c r="AA89" s="316" t="str">
        <f t="shared" ca="1" si="53"/>
        <v/>
      </c>
      <c r="AC89" s="310" t="e">
        <f t="shared" ca="1" si="54"/>
        <v>#N/A</v>
      </c>
      <c r="AD89" s="323" t="e">
        <f t="shared" ca="1" si="55"/>
        <v>#N/A</v>
      </c>
      <c r="AE89" s="324">
        <f t="shared" ca="1" si="34"/>
        <v>44.873768206469833</v>
      </c>
      <c r="AG89" s="306">
        <f t="shared" ca="1" si="56"/>
        <v>98.740430465928569</v>
      </c>
      <c r="AH89" s="304">
        <f t="shared" ca="1" si="57"/>
        <v>108.36691438897515</v>
      </c>
    </row>
    <row r="90" spans="1:34" x14ac:dyDescent="0.3">
      <c r="A90" s="347">
        <f t="shared" ca="1" si="35"/>
        <v>0.01</v>
      </c>
      <c r="B90" s="304">
        <f t="shared" ca="1" si="36"/>
        <v>0.86000000000000054</v>
      </c>
      <c r="D90" s="306">
        <f t="shared" ca="1" si="37"/>
        <v>20.75364037699978</v>
      </c>
      <c r="E90" s="307">
        <f t="shared" ca="1" si="38"/>
        <v>95.871430360181392</v>
      </c>
      <c r="F90" s="304">
        <f t="shared" ca="1" si="39"/>
        <v>98.09202183768538</v>
      </c>
      <c r="G90" s="306">
        <f t="shared" ca="1" si="40"/>
        <v>20.243229029050966</v>
      </c>
      <c r="H90" s="307">
        <f t="shared" ca="1" si="41"/>
        <v>102.98422001889017</v>
      </c>
      <c r="I90" s="304">
        <f t="shared" ca="1" si="42"/>
        <v>104.95493268266047</v>
      </c>
      <c r="J90" s="306">
        <f t="shared" ca="1" si="43"/>
        <v>8.7028021318654165</v>
      </c>
      <c r="K90" s="307">
        <f t="shared" ca="1" si="44"/>
        <v>45.898816835140728</v>
      </c>
      <c r="L90" s="304">
        <f t="shared" ca="1" si="29"/>
        <v>46.716593966300657</v>
      </c>
      <c r="M90" s="306">
        <f t="shared" ca="1" si="45"/>
        <v>1.3767045529871076</v>
      </c>
      <c r="N90" s="304">
        <f t="shared" ca="1" si="46"/>
        <v>78.879360522605879</v>
      </c>
      <c r="P90" s="310">
        <f t="shared" ca="1" si="47"/>
        <v>13</v>
      </c>
      <c r="Q90" s="304">
        <f t="shared" ca="1" si="48"/>
        <v>60.088235294117645</v>
      </c>
      <c r="R90" s="306">
        <f t="shared" ca="1" si="49"/>
        <v>3.2570996574884541E-2</v>
      </c>
      <c r="S90" s="307">
        <f t="shared" ca="1" si="50"/>
        <v>0.42843659936434803</v>
      </c>
      <c r="T90" s="304">
        <f t="shared" ca="1" si="30"/>
        <v>4.2029630397642546</v>
      </c>
      <c r="U90" s="311">
        <f t="shared" ca="1" si="31"/>
        <v>0</v>
      </c>
      <c r="V90" s="306">
        <f t="shared" ca="1" si="32"/>
        <v>1.2193902689386191</v>
      </c>
      <c r="W90" s="304">
        <f t="shared" ca="1" si="33"/>
        <v>14.208506338005122</v>
      </c>
      <c r="Y90" s="314" t="str">
        <f t="shared" ca="1" si="51"/>
        <v/>
      </c>
      <c r="Z90" s="315" t="str">
        <f t="shared" ca="1" si="52"/>
        <v/>
      </c>
      <c r="AA90" s="316" t="str">
        <f t="shared" ca="1" si="53"/>
        <v/>
      </c>
      <c r="AC90" s="310" t="e">
        <f t="shared" ca="1" si="54"/>
        <v>#N/A</v>
      </c>
      <c r="AD90" s="323" t="e">
        <f t="shared" ca="1" si="55"/>
        <v>#N/A</v>
      </c>
      <c r="AE90" s="324">
        <f t="shared" ca="1" si="34"/>
        <v>45.898816835140728</v>
      </c>
      <c r="AG90" s="306">
        <f t="shared" ca="1" si="56"/>
        <v>98.073805030297535</v>
      </c>
      <c r="AH90" s="304">
        <f t="shared" ca="1" si="57"/>
        <v>107.69994573755228</v>
      </c>
    </row>
    <row r="91" spans="1:34" x14ac:dyDescent="0.3">
      <c r="A91" s="347">
        <f t="shared" ca="1" si="35"/>
        <v>0.01</v>
      </c>
      <c r="B91" s="304">
        <f t="shared" ca="1" si="36"/>
        <v>0.87000000000000055</v>
      </c>
      <c r="D91" s="306">
        <f t="shared" ca="1" si="37"/>
        <v>20.643531904049109</v>
      </c>
      <c r="E91" s="307">
        <f t="shared" ca="1" si="38"/>
        <v>95.210697464945895</v>
      </c>
      <c r="F91" s="304">
        <f t="shared" ca="1" si="39"/>
        <v>97.422955822716375</v>
      </c>
      <c r="G91" s="306">
        <f t="shared" ca="1" si="40"/>
        <v>20.449664348091456</v>
      </c>
      <c r="H91" s="307">
        <f t="shared" ca="1" si="41"/>
        <v>103.93632699353962</v>
      </c>
      <c r="I91" s="304">
        <f t="shared" ca="1" si="42"/>
        <v>105.92898017472648</v>
      </c>
      <c r="J91" s="306">
        <f t="shared" ca="1" si="43"/>
        <v>8.9062665987511291</v>
      </c>
      <c r="K91" s="307">
        <f t="shared" ca="1" si="44"/>
        <v>46.933419570202879</v>
      </c>
      <c r="L91" s="304">
        <f t="shared" ca="1" si="29"/>
        <v>47.770989703801746</v>
      </c>
      <c r="M91" s="306">
        <f t="shared" ca="1" si="45"/>
        <v>1.376525932547946</v>
      </c>
      <c r="N91" s="304">
        <f t="shared" ca="1" si="46"/>
        <v>78.869126325307136</v>
      </c>
      <c r="P91" s="310">
        <f t="shared" ca="1" si="47"/>
        <v>13</v>
      </c>
      <c r="Q91" s="304">
        <f t="shared" ca="1" si="48"/>
        <v>60.029411764705877</v>
      </c>
      <c r="R91" s="306">
        <f t="shared" ca="1" si="49"/>
        <v>3.2539111115682501E-2</v>
      </c>
      <c r="S91" s="307">
        <f t="shared" ca="1" si="50"/>
        <v>0.42811120825319121</v>
      </c>
      <c r="T91" s="304">
        <f t="shared" ca="1" si="30"/>
        <v>4.1997709529638056</v>
      </c>
      <c r="U91" s="311">
        <f t="shared" ca="1" si="31"/>
        <v>0</v>
      </c>
      <c r="V91" s="306">
        <f t="shared" ca="1" si="32"/>
        <v>1.2192641163343845</v>
      </c>
      <c r="W91" s="304">
        <f t="shared" ca="1" si="33"/>
        <v>14.471960429196265</v>
      </c>
      <c r="Y91" s="314" t="str">
        <f t="shared" ca="1" si="51"/>
        <v/>
      </c>
      <c r="Z91" s="315" t="str">
        <f t="shared" ca="1" si="52"/>
        <v/>
      </c>
      <c r="AA91" s="316" t="str">
        <f t="shared" ca="1" si="53"/>
        <v/>
      </c>
      <c r="AC91" s="310" t="e">
        <f t="shared" ca="1" si="54"/>
        <v>#N/A</v>
      </c>
      <c r="AD91" s="323" t="e">
        <f t="shared" ca="1" si="55"/>
        <v>#N/A</v>
      </c>
      <c r="AE91" s="324">
        <f t="shared" ca="1" si="34"/>
        <v>46.933419570202879</v>
      </c>
      <c r="AG91" s="306">
        <f t="shared" ca="1" si="56"/>
        <v>97.404580222012882</v>
      </c>
      <c r="AH91" s="304">
        <f t="shared" ca="1" si="57"/>
        <v>107.03038029221977</v>
      </c>
    </row>
    <row r="92" spans="1:34" x14ac:dyDescent="0.3">
      <c r="A92" s="347">
        <f t="shared" ca="1" si="35"/>
        <v>0.01</v>
      </c>
      <c r="B92" s="304">
        <f t="shared" ca="1" si="36"/>
        <v>0.88000000000000056</v>
      </c>
      <c r="D92" s="306">
        <f t="shared" ca="1" si="37"/>
        <v>17.761561887287915</v>
      </c>
      <c r="E92" s="307">
        <f t="shared" ca="1" si="38"/>
        <v>80.463926887481648</v>
      </c>
      <c r="F92" s="304">
        <f t="shared" ca="1" si="39"/>
        <v>82.400950302954342</v>
      </c>
      <c r="G92" s="306">
        <f t="shared" ca="1" si="40"/>
        <v>20.627279966964334</v>
      </c>
      <c r="H92" s="307">
        <f t="shared" ca="1" si="41"/>
        <v>104.74096626241445</v>
      </c>
      <c r="I92" s="304">
        <f t="shared" ca="1" si="42"/>
        <v>106.75277369895252</v>
      </c>
      <c r="J92" s="306">
        <f t="shared" ca="1" si="43"/>
        <v>9.1116513203264073</v>
      </c>
      <c r="K92" s="307">
        <f t="shared" ca="1" si="44"/>
        <v>47.97680603648265</v>
      </c>
      <c r="L92" s="304">
        <f t="shared" ca="1" si="29"/>
        <v>48.834374238291247</v>
      </c>
      <c r="M92" s="306">
        <f t="shared" ca="1" si="45"/>
        <v>1.3763485294356359</v>
      </c>
      <c r="N92" s="304">
        <f t="shared" ca="1" si="46"/>
        <v>78.858961875699293</v>
      </c>
      <c r="P92" s="310">
        <f t="shared" ca="1" si="47"/>
        <v>14</v>
      </c>
      <c r="Q92" s="304">
        <f t="shared" ca="1" si="48"/>
        <v>53.833333333332646</v>
      </c>
      <c r="R92" s="306">
        <f t="shared" ca="1" si="49"/>
        <v>2.9180509413067181E-2</v>
      </c>
      <c r="S92" s="307">
        <f t="shared" ca="1" si="50"/>
        <v>0.42781940315906053</v>
      </c>
      <c r="T92" s="304">
        <f t="shared" ca="1" si="30"/>
        <v>4.1969083449903843</v>
      </c>
      <c r="U92" s="311">
        <f t="shared" ca="1" si="31"/>
        <v>0</v>
      </c>
      <c r="V92" s="306">
        <f t="shared" ca="1" si="32"/>
        <v>1.2191369058869825</v>
      </c>
      <c r="W92" s="304">
        <f t="shared" ca="1" si="33"/>
        <v>14.696394651947406</v>
      </c>
      <c r="Y92" s="314" t="str">
        <f t="shared" ca="1" si="51"/>
        <v/>
      </c>
      <c r="Z92" s="315" t="str">
        <f t="shared" ca="1" si="52"/>
        <v/>
      </c>
      <c r="AA92" s="316" t="str">
        <f t="shared" ca="1" si="53"/>
        <v/>
      </c>
      <c r="AC92" s="310" t="e">
        <f t="shared" ca="1" si="54"/>
        <v>#N/A</v>
      </c>
      <c r="AD92" s="323" t="e">
        <f t="shared" ca="1" si="55"/>
        <v>#N/A</v>
      </c>
      <c r="AE92" s="324">
        <f t="shared" ca="1" si="34"/>
        <v>47.97680603648265</v>
      </c>
      <c r="AG92" s="306">
        <f t="shared" ca="1" si="56"/>
        <v>82.379184437163701</v>
      </c>
      <c r="AH92" s="304">
        <f t="shared" ca="1" si="57"/>
        <v>92.00464638463832</v>
      </c>
    </row>
    <row r="93" spans="1:34" x14ac:dyDescent="0.3">
      <c r="A93" s="347">
        <f t="shared" ca="1" si="35"/>
        <v>0.01</v>
      </c>
      <c r="B93" s="304">
        <f t="shared" ca="1" si="36"/>
        <v>0.89000000000000057</v>
      </c>
      <c r="D93" s="306">
        <f t="shared" ca="1" si="37"/>
        <v>12.112225541781489</v>
      </c>
      <c r="E93" s="307">
        <f t="shared" ca="1" si="38"/>
        <v>51.693320305260414</v>
      </c>
      <c r="F93" s="304">
        <f t="shared" ca="1" si="39"/>
        <v>53.093364667887009</v>
      </c>
      <c r="G93" s="306">
        <f t="shared" ca="1" si="40"/>
        <v>20.74840222238215</v>
      </c>
      <c r="H93" s="307">
        <f t="shared" ca="1" si="41"/>
        <v>105.25789946546705</v>
      </c>
      <c r="I93" s="304">
        <f t="shared" ca="1" si="42"/>
        <v>107.28337054112404</v>
      </c>
      <c r="J93" s="306">
        <f t="shared" ca="1" si="43"/>
        <v>9.3185297312731397</v>
      </c>
      <c r="K93" s="307">
        <f t="shared" ca="1" si="44"/>
        <v>49.026800365122057</v>
      </c>
      <c r="L93" s="304">
        <f t="shared" ca="1" si="29"/>
        <v>49.904530359418814</v>
      </c>
      <c r="M93" s="306">
        <f t="shared" ca="1" si="45"/>
        <v>1.3761718445517015</v>
      </c>
      <c r="N93" s="304">
        <f t="shared" ca="1" si="46"/>
        <v>78.84883857754609</v>
      </c>
      <c r="P93" s="310">
        <f t="shared" ca="1" si="47"/>
        <v>14</v>
      </c>
      <c r="Q93" s="304">
        <f t="shared" ca="1" si="48"/>
        <v>41.499999999999318</v>
      </c>
      <c r="R93" s="306">
        <f t="shared" ca="1" si="49"/>
        <v>2.2495191467039325E-2</v>
      </c>
      <c r="S93" s="307">
        <f t="shared" ca="1" si="50"/>
        <v>0.42759445124439016</v>
      </c>
      <c r="T93" s="304">
        <f t="shared" ca="1" si="30"/>
        <v>4.1947015667074679</v>
      </c>
      <c r="U93" s="311">
        <f t="shared" ca="1" si="31"/>
        <v>0</v>
      </c>
      <c r="V93" s="306">
        <f t="shared" ca="1" si="32"/>
        <v>1.2190089031706837</v>
      </c>
      <c r="W93" s="304">
        <f t="shared" ca="1" si="33"/>
        <v>14.841291249536358</v>
      </c>
      <c r="Y93" s="314" t="str">
        <f t="shared" ca="1" si="51"/>
        <v/>
      </c>
      <c r="Z93" s="315" t="str">
        <f t="shared" ca="1" si="52"/>
        <v/>
      </c>
      <c r="AA93" s="316" t="str">
        <f t="shared" ca="1" si="53"/>
        <v/>
      </c>
      <c r="AC93" s="310" t="e">
        <f t="shared" ca="1" si="54"/>
        <v>#N/A</v>
      </c>
      <c r="AD93" s="323" t="e">
        <f t="shared" ca="1" si="55"/>
        <v>#N/A</v>
      </c>
      <c r="AE93" s="324">
        <f t="shared" ca="1" si="34"/>
        <v>49.026800365122057</v>
      </c>
      <c r="AG93" s="306">
        <f t="shared" ca="1" si="56"/>
        <v>53.059516760962495</v>
      </c>
      <c r="AH93" s="304">
        <f t="shared" ca="1" si="57"/>
        <v>62.684642586094739</v>
      </c>
    </row>
    <row r="94" spans="1:34" x14ac:dyDescent="0.3">
      <c r="A94" s="347">
        <f t="shared" ca="1" si="35"/>
        <v>0.01</v>
      </c>
      <c r="B94" s="304">
        <f t="shared" ca="1" si="36"/>
        <v>0.90000000000000058</v>
      </c>
      <c r="D94" s="306">
        <f t="shared" ca="1" si="37"/>
        <v>6.4816683576608032</v>
      </c>
      <c r="E94" s="307">
        <f t="shared" ca="1" si="38"/>
        <v>23.071895629688164</v>
      </c>
      <c r="F94" s="304">
        <f t="shared" ca="1" si="39"/>
        <v>23.96506608891211</v>
      </c>
      <c r="G94" s="306">
        <f t="shared" ca="1" si="40"/>
        <v>20.81321890595876</v>
      </c>
      <c r="H94" s="307">
        <f t="shared" ca="1" si="41"/>
        <v>105.48861842176393</v>
      </c>
      <c r="I94" s="304">
        <f t="shared" ca="1" si="42"/>
        <v>107.5222707059327</v>
      </c>
      <c r="J94" s="306">
        <f t="shared" ca="1" si="43"/>
        <v>9.5263378369148448</v>
      </c>
      <c r="K94" s="307">
        <f t="shared" ca="1" si="44"/>
        <v>50.080532954558208</v>
      </c>
      <c r="L94" s="304">
        <f t="shared" ca="1" si="29"/>
        <v>50.978533654820104</v>
      </c>
      <c r="M94" s="306">
        <f t="shared" ca="1" si="45"/>
        <v>1.3759953940768941</v>
      </c>
      <c r="N94" s="304">
        <f t="shared" ca="1" si="46"/>
        <v>78.838728710046539</v>
      </c>
      <c r="P94" s="310">
        <f t="shared" ca="1" si="47"/>
        <v>14</v>
      </c>
      <c r="Q94" s="304">
        <f t="shared" ca="1" si="48"/>
        <v>29.166666666665979</v>
      </c>
      <c r="R94" s="306">
        <f t="shared" ca="1" si="49"/>
        <v>1.5809873521011458E-2</v>
      </c>
      <c r="S94" s="307">
        <f t="shared" ca="1" si="50"/>
        <v>0.42743635250918005</v>
      </c>
      <c r="T94" s="304">
        <f t="shared" ca="1" si="30"/>
        <v>4.1931506181150562</v>
      </c>
      <c r="U94" s="311">
        <f t="shared" ca="1" si="31"/>
        <v>0</v>
      </c>
      <c r="V94" s="306">
        <f t="shared" ca="1" si="32"/>
        <v>1.2188804582087838</v>
      </c>
      <c r="W94" s="304">
        <f t="shared" ca="1" si="33"/>
        <v>14.905891673322737</v>
      </c>
      <c r="Y94" s="314" t="str">
        <f t="shared" ca="1" si="51"/>
        <v/>
      </c>
      <c r="Z94" s="315" t="str">
        <f t="shared" ca="1" si="52"/>
        <v/>
      </c>
      <c r="AA94" s="316" t="str">
        <f t="shared" ca="1" si="53"/>
        <v/>
      </c>
      <c r="AC94" s="310" t="e">
        <f t="shared" ca="1" si="54"/>
        <v>#N/A</v>
      </c>
      <c r="AD94" s="323" t="e">
        <f t="shared" ca="1" si="55"/>
        <v>#N/A</v>
      </c>
      <c r="AE94" s="324">
        <f t="shared" ca="1" si="34"/>
        <v>50.080532954558208</v>
      </c>
      <c r="AG94" s="306">
        <f t="shared" ca="1" si="56"/>
        <v>23.889849096807154</v>
      </c>
      <c r="AH94" s="304">
        <f t="shared" ca="1" si="57"/>
        <v>33.514639859327254</v>
      </c>
    </row>
    <row r="95" spans="1:34" x14ac:dyDescent="0.3">
      <c r="A95" s="347">
        <f t="shared" ca="1" si="35"/>
        <v>0.01</v>
      </c>
      <c r="B95" s="304">
        <f t="shared" ca="1" si="36"/>
        <v>0.91000000000000059</v>
      </c>
      <c r="D95" s="306">
        <f t="shared" ca="1" si="37"/>
        <v>2.9223414733479807</v>
      </c>
      <c r="E95" s="307">
        <f t="shared" ca="1" si="38"/>
        <v>5.0014410352856391</v>
      </c>
      <c r="F95" s="304">
        <f t="shared" ca="1" si="39"/>
        <v>5.7926239405202837</v>
      </c>
      <c r="G95" s="306">
        <f t="shared" ca="1" si="40"/>
        <v>20.842442320692239</v>
      </c>
      <c r="H95" s="307">
        <f t="shared" ca="1" si="41"/>
        <v>105.53863283211679</v>
      </c>
      <c r="I95" s="304">
        <f t="shared" ca="1" si="42"/>
        <v>107.5769976433798</v>
      </c>
      <c r="J95" s="306">
        <f t="shared" ca="1" si="43"/>
        <v>9.7346161430481004</v>
      </c>
      <c r="K95" s="307">
        <f t="shared" ca="1" si="44"/>
        <v>51.135669210827615</v>
      </c>
      <c r="L95" s="304">
        <f t="shared" ca="1" si="29"/>
        <v>52.054004813190652</v>
      </c>
      <c r="M95" s="306">
        <f t="shared" ca="1" si="45"/>
        <v>1.3758188755011007</v>
      </c>
      <c r="N95" s="304">
        <f t="shared" ca="1" si="46"/>
        <v>78.828614940647924</v>
      </c>
      <c r="P95" s="310">
        <f t="shared" ca="1" si="47"/>
        <v>15</v>
      </c>
      <c r="Q95" s="304">
        <f t="shared" ca="1" si="48"/>
        <v>21.357142857142673</v>
      </c>
      <c r="R95" s="306">
        <f t="shared" ca="1" si="49"/>
        <v>1.1576699223140809E-2</v>
      </c>
      <c r="S95" s="307">
        <f t="shared" ca="1" si="50"/>
        <v>0.42732058551694863</v>
      </c>
      <c r="T95" s="304">
        <f t="shared" ca="1" si="30"/>
        <v>4.1920149439212659</v>
      </c>
      <c r="U95" s="311">
        <f t="shared" ca="1" si="31"/>
        <v>0</v>
      </c>
      <c r="V95" s="306">
        <f t="shared" ca="1" si="32"/>
        <v>1.2187518556737462</v>
      </c>
      <c r="W95" s="304">
        <f t="shared" ca="1" si="33"/>
        <v>14.919494903140379</v>
      </c>
      <c r="Y95" s="314" t="str">
        <f t="shared" ca="1" si="51"/>
        <v/>
      </c>
      <c r="Z95" s="315" t="str">
        <f t="shared" ca="1" si="52"/>
        <v/>
      </c>
      <c r="AA95" s="316" t="str">
        <f t="shared" ca="1" si="53"/>
        <v/>
      </c>
      <c r="AC95" s="310" t="e">
        <f t="shared" ca="1" si="54"/>
        <v>#N/A</v>
      </c>
      <c r="AD95" s="323" t="e">
        <f t="shared" ca="1" si="55"/>
        <v>#N/A</v>
      </c>
      <c r="AE95" s="324">
        <f t="shared" ca="1" si="34"/>
        <v>51.135669210827615</v>
      </c>
      <c r="AG95" s="306">
        <f t="shared" ca="1" si="56"/>
        <v>5.4725261461622523</v>
      </c>
      <c r="AH95" s="304">
        <f t="shared" ca="1" si="57"/>
        <v>15.096981990735532</v>
      </c>
    </row>
    <row r="96" spans="1:34" x14ac:dyDescent="0.3">
      <c r="A96" s="347">
        <f t="shared" ca="1" si="35"/>
        <v>0.01</v>
      </c>
      <c r="B96" s="304">
        <f t="shared" ca="1" si="36"/>
        <v>0.9200000000000006</v>
      </c>
      <c r="D96" s="306">
        <f t="shared" ca="1" si="37"/>
        <v>1.4293941821509466</v>
      </c>
      <c r="E96" s="307">
        <f t="shared" ca="1" si="38"/>
        <v>-2.5720618811729423</v>
      </c>
      <c r="F96" s="304">
        <f t="shared" ca="1" si="39"/>
        <v>2.942561817286065</v>
      </c>
      <c r="G96" s="306">
        <f t="shared" ca="1" si="40"/>
        <v>20.856736262513749</v>
      </c>
      <c r="H96" s="307">
        <f t="shared" ca="1" si="41"/>
        <v>105.51291221330506</v>
      </c>
      <c r="I96" s="304">
        <f t="shared" ca="1" si="42"/>
        <v>107.55453542857538</v>
      </c>
      <c r="J96" s="306">
        <f t="shared" ca="1" si="43"/>
        <v>9.9431120359641305</v>
      </c>
      <c r="K96" s="307">
        <f t="shared" ca="1" si="44"/>
        <v>52.190926936054723</v>
      </c>
      <c r="L96" s="304">
        <f t="shared" ca="1" si="29"/>
        <v>53.129637034374113</v>
      </c>
      <c r="M96" s="306">
        <f t="shared" ca="1" si="45"/>
        <v>1.3756421621064197</v>
      </c>
      <c r="N96" s="304">
        <f t="shared" ca="1" si="46"/>
        <v>78.818490008949269</v>
      </c>
      <c r="P96" s="310">
        <f t="shared" ca="1" si="47"/>
        <v>15</v>
      </c>
      <c r="Q96" s="304">
        <f t="shared" ca="1" si="48"/>
        <v>18.071428571428381</v>
      </c>
      <c r="R96" s="306">
        <f t="shared" ca="1" si="49"/>
        <v>9.7956685734268203E-3</v>
      </c>
      <c r="S96" s="307">
        <f t="shared" ca="1" si="50"/>
        <v>0.42722262883121437</v>
      </c>
      <c r="T96" s="304">
        <f t="shared" ca="1" si="30"/>
        <v>4.1910539888342129</v>
      </c>
      <c r="U96" s="311">
        <f t="shared" ca="1" si="31"/>
        <v>0</v>
      </c>
      <c r="V96" s="306">
        <f t="shared" ca="1" si="32"/>
        <v>1.2186232518701201</v>
      </c>
      <c r="W96" s="304">
        <f t="shared" ca="1" si="33"/>
        <v>14.911691473042488</v>
      </c>
      <c r="Y96" s="314" t="str">
        <f t="shared" ca="1" si="51"/>
        <v/>
      </c>
      <c r="Z96" s="315" t="str">
        <f t="shared" ca="1" si="52"/>
        <v/>
      </c>
      <c r="AA96" s="316" t="str">
        <f t="shared" ca="1" si="53"/>
        <v/>
      </c>
      <c r="AC96" s="310" t="e">
        <f t="shared" ca="1" si="54"/>
        <v>#N/A</v>
      </c>
      <c r="AD96" s="323" t="e">
        <f t="shared" ca="1" si="55"/>
        <v>#N/A</v>
      </c>
      <c r="AE96" s="324">
        <f t="shared" ca="1" si="34"/>
        <v>52.190926936054723</v>
      </c>
      <c r="AG96" s="306">
        <f t="shared" ca="1" si="56"/>
        <v>-2.2463894140705447</v>
      </c>
      <c r="AH96" s="304">
        <f t="shared" ca="1" si="57"/>
        <v>7.3777310834657532</v>
      </c>
    </row>
    <row r="97" spans="1:34" x14ac:dyDescent="0.3">
      <c r="A97" s="347">
        <f t="shared" ca="1" si="35"/>
        <v>0.01</v>
      </c>
      <c r="B97" s="304">
        <f t="shared" ca="1" si="36"/>
        <v>0.9300000000000006</v>
      </c>
      <c r="D97" s="306">
        <f t="shared" ca="1" si="37"/>
        <v>-5.719219450790531E-2</v>
      </c>
      <c r="E97" s="307">
        <f t="shared" ca="1" si="38"/>
        <v>-10.099331701875371</v>
      </c>
      <c r="F97" s="304">
        <f t="shared" ca="1" si="39"/>
        <v>10.09949363936715</v>
      </c>
      <c r="G97" s="306">
        <f t="shared" ca="1" si="40"/>
        <v>20.856164340568672</v>
      </c>
      <c r="H97" s="307">
        <f t="shared" ca="1" si="41"/>
        <v>105.41191889628631</v>
      </c>
      <c r="I97" s="304">
        <f t="shared" ca="1" si="42"/>
        <v>107.45534996638395</v>
      </c>
      <c r="J97" s="306">
        <f t="shared" ca="1" si="43"/>
        <v>10.151676538979542</v>
      </c>
      <c r="K97" s="307">
        <f t="shared" ca="1" si="44"/>
        <v>53.245551091602678</v>
      </c>
      <c r="L97" s="304">
        <f t="shared" ca="1" si="29"/>
        <v>54.204660755331169</v>
      </c>
      <c r="M97" s="306">
        <f t="shared" ca="1" si="45"/>
        <v>1.3754651273297567</v>
      </c>
      <c r="N97" s="304">
        <f t="shared" ca="1" si="46"/>
        <v>78.808346663419442</v>
      </c>
      <c r="P97" s="310">
        <f t="shared" ca="1" si="47"/>
        <v>15</v>
      </c>
      <c r="Q97" s="304">
        <f t="shared" ca="1" si="48"/>
        <v>14.785714285714091</v>
      </c>
      <c r="R97" s="306">
        <f t="shared" ca="1" si="49"/>
        <v>8.0146379237128317E-3</v>
      </c>
      <c r="S97" s="307">
        <f t="shared" ca="1" si="50"/>
        <v>0.42714248245197722</v>
      </c>
      <c r="T97" s="304">
        <f t="shared" ca="1" si="30"/>
        <v>4.190267752853897</v>
      </c>
      <c r="U97" s="311">
        <f t="shared" ca="1" si="31"/>
        <v>0</v>
      </c>
      <c r="V97" s="306">
        <f t="shared" ca="1" si="32"/>
        <v>1.2184947388021523</v>
      </c>
      <c r="W97" s="304">
        <f t="shared" ca="1" si="33"/>
        <v>14.882631747567491</v>
      </c>
      <c r="Y97" s="314" t="str">
        <f t="shared" ca="1" si="51"/>
        <v/>
      </c>
      <c r="Z97" s="315" t="str">
        <f t="shared" ca="1" si="52"/>
        <v/>
      </c>
      <c r="AA97" s="316" t="str">
        <f t="shared" ca="1" si="53"/>
        <v/>
      </c>
      <c r="AC97" s="310" t="e">
        <f t="shared" ca="1" si="54"/>
        <v>#N/A</v>
      </c>
      <c r="AD97" s="323" t="e">
        <f t="shared" ca="1" si="55"/>
        <v>#N/A</v>
      </c>
      <c r="AE97" s="324">
        <f t="shared" ca="1" si="34"/>
        <v>53.245551091602678</v>
      </c>
      <c r="AG97" s="306">
        <f t="shared" ca="1" si="56"/>
        <v>-9.9187146087260167</v>
      </c>
      <c r="AH97" s="304">
        <f t="shared" ca="1" si="57"/>
        <v>-0.29493012871310542</v>
      </c>
    </row>
    <row r="98" spans="1:34" x14ac:dyDescent="0.3">
      <c r="A98" s="347">
        <f t="shared" ca="1" si="35"/>
        <v>0.01</v>
      </c>
      <c r="B98" s="304">
        <f t="shared" ca="1" si="36"/>
        <v>0.94000000000000061</v>
      </c>
      <c r="D98" s="306">
        <f t="shared" ca="1" si="37"/>
        <v>-1.5372756036957655</v>
      </c>
      <c r="E98" s="307">
        <f t="shared" ca="1" si="38"/>
        <v>-17.579749442509389</v>
      </c>
      <c r="F98" s="304">
        <f t="shared" ca="1" si="39"/>
        <v>17.646835601408185</v>
      </c>
      <c r="G98" s="306">
        <f t="shared" ca="1" si="40"/>
        <v>20.840791584531715</v>
      </c>
      <c r="H98" s="307">
        <f t="shared" ca="1" si="41"/>
        <v>105.23612140186121</v>
      </c>
      <c r="I98" s="304">
        <f t="shared" ca="1" si="42"/>
        <v>107.27991350470582</v>
      </c>
      <c r="J98" s="306">
        <f t="shared" ca="1" si="43"/>
        <v>10.360161318605044</v>
      </c>
      <c r="K98" s="307">
        <f t="shared" ca="1" si="44"/>
        <v>54.298791293093416</v>
      </c>
      <c r="L98" s="304">
        <f t="shared" ca="1" si="29"/>
        <v>55.278311103347193</v>
      </c>
      <c r="M98" s="306">
        <f t="shared" ca="1" si="45"/>
        <v>1.3752876442352213</v>
      </c>
      <c r="N98" s="304">
        <f t="shared" ca="1" si="46"/>
        <v>78.798177631167647</v>
      </c>
      <c r="P98" s="310">
        <f t="shared" ca="1" si="47"/>
        <v>15</v>
      </c>
      <c r="Q98" s="304">
        <f t="shared" ca="1" si="48"/>
        <v>11.499999999999799</v>
      </c>
      <c r="R98" s="306">
        <f t="shared" ca="1" si="49"/>
        <v>6.2336072739988422E-3</v>
      </c>
      <c r="S98" s="307">
        <f t="shared" ca="1" si="50"/>
        <v>0.42708014637923725</v>
      </c>
      <c r="T98" s="304">
        <f t="shared" ca="1" si="30"/>
        <v>4.1896562359803173</v>
      </c>
      <c r="U98" s="311">
        <f t="shared" ca="1" si="31"/>
        <v>0</v>
      </c>
      <c r="V98" s="306">
        <f t="shared" ca="1" si="32"/>
        <v>1.2183664078683301</v>
      </c>
      <c r="W98" s="304">
        <f t="shared" ca="1" si="33"/>
        <v>14.832512989543844</v>
      </c>
      <c r="Y98" s="314" t="str">
        <f t="shared" ca="1" si="51"/>
        <v/>
      </c>
      <c r="Z98" s="315" t="str">
        <f t="shared" ca="1" si="52"/>
        <v/>
      </c>
      <c r="AA98" s="316" t="str">
        <f t="shared" ca="1" si="53"/>
        <v/>
      </c>
      <c r="AC98" s="310" t="e">
        <f t="shared" ca="1" si="54"/>
        <v>#N/A</v>
      </c>
      <c r="AD98" s="323" t="e">
        <f t="shared" ca="1" si="55"/>
        <v>#N/A</v>
      </c>
      <c r="AE98" s="324">
        <f t="shared" ca="1" si="34"/>
        <v>54.298791293093416</v>
      </c>
      <c r="AG98" s="306">
        <f t="shared" ca="1" si="56"/>
        <v>-17.543815135012018</v>
      </c>
      <c r="AH98" s="304">
        <f t="shared" ca="1" si="57"/>
        <v>-7.9203675849731328</v>
      </c>
    </row>
    <row r="99" spans="1:34" x14ac:dyDescent="0.3">
      <c r="A99" s="347">
        <f t="shared" ca="1" si="35"/>
        <v>0.01</v>
      </c>
      <c r="B99" s="304">
        <f t="shared" ca="1" si="36"/>
        <v>0.95000000000000062</v>
      </c>
      <c r="D99" s="306">
        <f t="shared" ca="1" si="37"/>
        <v>-3.0107408162654803</v>
      </c>
      <c r="E99" s="307">
        <f t="shared" ca="1" si="38"/>
        <v>-25.012814382790257</v>
      </c>
      <c r="F99" s="304">
        <f t="shared" ca="1" si="39"/>
        <v>25.193361101898375</v>
      </c>
      <c r="G99" s="306">
        <f t="shared" ca="1" si="40"/>
        <v>20.810684176369062</v>
      </c>
      <c r="H99" s="307">
        <f t="shared" ca="1" si="41"/>
        <v>104.9859932580333</v>
      </c>
      <c r="I99" s="304">
        <f t="shared" ca="1" si="42"/>
        <v>107.02870342232681</v>
      </c>
      <c r="J99" s="306">
        <f t="shared" ca="1" si="43"/>
        <v>10.568418697409548</v>
      </c>
      <c r="K99" s="307">
        <f t="shared" ca="1" si="44"/>
        <v>55.349901866392891</v>
      </c>
      <c r="L99" s="304">
        <f t="shared" ca="1" si="29"/>
        <v>56.349827953447019</v>
      </c>
      <c r="M99" s="306">
        <f t="shared" ca="1" si="45"/>
        <v>1.3751095849846258</v>
      </c>
      <c r="N99" s="304">
        <f t="shared" ca="1" si="46"/>
        <v>78.78797558760526</v>
      </c>
      <c r="P99" s="310">
        <f t="shared" ca="1" si="47"/>
        <v>15</v>
      </c>
      <c r="Q99" s="304">
        <f t="shared" ca="1" si="48"/>
        <v>8.2142857142855092</v>
      </c>
      <c r="R99" s="306">
        <f t="shared" ca="1" si="49"/>
        <v>4.4525766242848536E-3</v>
      </c>
      <c r="S99" s="307">
        <f t="shared" ca="1" si="50"/>
        <v>0.42703562061299438</v>
      </c>
      <c r="T99" s="304">
        <f t="shared" ca="1" si="30"/>
        <v>4.1892194382134749</v>
      </c>
      <c r="U99" s="311">
        <f t="shared" ca="1" si="31"/>
        <v>0</v>
      </c>
      <c r="V99" s="306">
        <f t="shared" ca="1" si="32"/>
        <v>1.218238349854966</v>
      </c>
      <c r="W99" s="304">
        <f t="shared" ca="1" si="33"/>
        <v>14.761578046287527</v>
      </c>
      <c r="Y99" s="314" t="str">
        <f t="shared" ca="1" si="51"/>
        <v/>
      </c>
      <c r="Z99" s="315" t="str">
        <f t="shared" ca="1" si="52"/>
        <v/>
      </c>
      <c r="AA99" s="316" t="str">
        <f t="shared" ca="1" si="53"/>
        <v/>
      </c>
      <c r="AC99" s="310" t="e">
        <f t="shared" ca="1" si="54"/>
        <v>#N/A</v>
      </c>
      <c r="AD99" s="323" t="e">
        <f t="shared" ca="1" si="55"/>
        <v>#N/A</v>
      </c>
      <c r="AE99" s="324">
        <f t="shared" ca="1" si="34"/>
        <v>55.349901866392891</v>
      </c>
      <c r="AG99" s="306">
        <f t="shared" ca="1" si="56"/>
        <v>-25.121177905667793</v>
      </c>
      <c r="AH99" s="304">
        <f t="shared" ca="1" si="57"/>
        <v>-15.498068441593011</v>
      </c>
    </row>
    <row r="100" spans="1:34" x14ac:dyDescent="0.3">
      <c r="A100" s="347">
        <f t="shared" ca="1" si="35"/>
        <v>0.01</v>
      </c>
      <c r="B100" s="304">
        <f t="shared" ca="1" si="36"/>
        <v>0.96000000000000063</v>
      </c>
      <c r="D100" s="306">
        <f t="shared" ca="1" si="37"/>
        <v>-4.4774989569640127</v>
      </c>
      <c r="E100" s="307">
        <f t="shared" ca="1" si="38"/>
        <v>-32.398141328022938</v>
      </c>
      <c r="F100" s="304">
        <f t="shared" ca="1" si="39"/>
        <v>32.706078310004727</v>
      </c>
      <c r="G100" s="306">
        <f t="shared" ca="1" si="40"/>
        <v>20.765909186799423</v>
      </c>
      <c r="H100" s="307">
        <f t="shared" ca="1" si="41"/>
        <v>104.66201184475308</v>
      </c>
      <c r="I100" s="304">
        <f t="shared" ca="1" si="42"/>
        <v>106.70220104452221</v>
      </c>
      <c r="J100" s="306">
        <f t="shared" ca="1" si="43"/>
        <v>10.776301664225391</v>
      </c>
      <c r="K100" s="307">
        <f t="shared" ca="1" si="44"/>
        <v>56.398141891906825</v>
      </c>
      <c r="L100" s="304">
        <f t="shared" ca="1" si="29"/>
        <v>57.418455973824678</v>
      </c>
      <c r="M100" s="306">
        <f t="shared" ca="1" si="45"/>
        <v>1.3749308203005599</v>
      </c>
      <c r="N100" s="304">
        <f t="shared" ca="1" si="46"/>
        <v>78.777733125682289</v>
      </c>
      <c r="P100" s="310">
        <f t="shared" ca="1" si="47"/>
        <v>15</v>
      </c>
      <c r="Q100" s="304">
        <f t="shared" ca="1" si="48"/>
        <v>4.9285714285712174</v>
      </c>
      <c r="R100" s="306">
        <f t="shared" ca="1" si="49"/>
        <v>2.6715459745708645E-3</v>
      </c>
      <c r="S100" s="307">
        <f t="shared" ca="1" si="50"/>
        <v>0.42700890515324869</v>
      </c>
      <c r="T100" s="304">
        <f t="shared" ca="1" si="30"/>
        <v>4.1889573595533696</v>
      </c>
      <c r="U100" s="311">
        <f t="shared" ca="1" si="31"/>
        <v>0</v>
      </c>
      <c r="V100" s="306">
        <f t="shared" ca="1" si="32"/>
        <v>1.2181106549312779</v>
      </c>
      <c r="W100" s="304">
        <f t="shared" ca="1" si="33"/>
        <v>14.670114038082094</v>
      </c>
      <c r="Y100" s="314" t="str">
        <f t="shared" ca="1" si="51"/>
        <v/>
      </c>
      <c r="Z100" s="315" t="str">
        <f t="shared" ca="1" si="52"/>
        <v/>
      </c>
      <c r="AA100" s="316" t="str">
        <f t="shared" ca="1" si="53"/>
        <v/>
      </c>
      <c r="AC100" s="310" t="e">
        <f t="shared" ca="1" si="54"/>
        <v>#N/A</v>
      </c>
      <c r="AD100" s="323" t="e">
        <f t="shared" ca="1" si="55"/>
        <v>#N/A</v>
      </c>
      <c r="AE100" s="324">
        <f t="shared" ca="1" si="34"/>
        <v>56.398141891906825</v>
      </c>
      <c r="AG100" s="306">
        <f t="shared" ca="1" si="56"/>
        <v>-32.650408273572026</v>
      </c>
      <c r="AH100" s="304">
        <f t="shared" ca="1" si="57"/>
        <v>-23.027638297583874</v>
      </c>
    </row>
    <row r="101" spans="1:34" x14ac:dyDescent="0.3">
      <c r="A101" s="347">
        <f t="shared" ca="1" si="35"/>
        <v>0.01</v>
      </c>
      <c r="B101" s="304">
        <f t="shared" ca="1" si="36"/>
        <v>0.97000000000000064</v>
      </c>
      <c r="D101" s="306">
        <f t="shared" ca="1" si="37"/>
        <v>-5.9374870407705211</v>
      </c>
      <c r="E101" s="307">
        <f t="shared" ca="1" si="38"/>
        <v>-39.735457797158517</v>
      </c>
      <c r="F101" s="304">
        <f t="shared" ca="1" si="39"/>
        <v>40.176614575012209</v>
      </c>
      <c r="G101" s="306">
        <f t="shared" ca="1" si="40"/>
        <v>20.706534316391718</v>
      </c>
      <c r="H101" s="307">
        <f t="shared" ca="1" si="41"/>
        <v>104.2646572667815</v>
      </c>
      <c r="I101" s="304">
        <f t="shared" ca="1" si="42"/>
        <v>106.30089048712301</v>
      </c>
      <c r="J101" s="306">
        <f t="shared" ca="1" si="43"/>
        <v>10.983663881741347</v>
      </c>
      <c r="K101" s="307">
        <f t="shared" ca="1" si="44"/>
        <v>57.442775237464495</v>
      </c>
      <c r="L101" s="304">
        <f t="shared" ca="1" si="29"/>
        <v>58.483444659569543</v>
      </c>
      <c r="M101" s="306">
        <f t="shared" ca="1" si="45"/>
        <v>1.3747512189163955</v>
      </c>
      <c r="N101" s="304">
        <f t="shared" ca="1" si="46"/>
        <v>78.767442724374959</v>
      </c>
      <c r="P101" s="310">
        <f t="shared" ca="1" si="47"/>
        <v>15</v>
      </c>
      <c r="Q101" s="304">
        <f t="shared" ca="1" si="48"/>
        <v>1.6428571428569292</v>
      </c>
      <c r="R101" s="306">
        <f t="shared" ca="1" si="49"/>
        <v>8.9051532485687722E-4</v>
      </c>
      <c r="S101" s="307">
        <f t="shared" ca="1" si="50"/>
        <v>0.4270000000000001</v>
      </c>
      <c r="T101" s="304">
        <f t="shared" ca="1" si="30"/>
        <v>4.1888700000000014</v>
      </c>
      <c r="U101" s="311">
        <f t="shared" ca="1" si="31"/>
        <v>0</v>
      </c>
      <c r="V101" s="306">
        <f t="shared" ca="1" si="32"/>
        <v>1.2179834126459264</v>
      </c>
      <c r="W101" s="304">
        <f t="shared" ca="1" si="33"/>
        <v>14.558451054223228</v>
      </c>
      <c r="Y101" s="314" t="str">
        <f t="shared" ca="1" si="51"/>
        <v/>
      </c>
      <c r="Z101" s="315" t="str">
        <f t="shared" ca="1" si="52"/>
        <v/>
      </c>
      <c r="AA101" s="316" t="str">
        <f t="shared" ca="1" si="53"/>
        <v/>
      </c>
      <c r="AC101" s="310" t="e">
        <f t="shared" ca="1" si="54"/>
        <v>#N/A</v>
      </c>
      <c r="AD101" s="323" t="e">
        <f t="shared" ca="1" si="55"/>
        <v>#N/A</v>
      </c>
      <c r="AE101" s="324">
        <f t="shared" ca="1" si="34"/>
        <v>57.442775237464495</v>
      </c>
      <c r="AG101" s="306">
        <f t="shared" ca="1" si="56"/>
        <v>-40.131227185487951</v>
      </c>
      <c r="AH101" s="304">
        <f t="shared" ca="1" si="57"/>
        <v>-30.508798349473444</v>
      </c>
    </row>
    <row r="102" spans="1:34" x14ac:dyDescent="0.3">
      <c r="A102" s="347">
        <f t="shared" ca="1" si="35"/>
        <v>0.01</v>
      </c>
      <c r="B102" s="304">
        <f t="shared" ca="1" si="36"/>
        <v>0.98000000000000065</v>
      </c>
      <c r="D102" s="306">
        <f t="shared" ca="1" si="37"/>
        <v>-6.6413720402852245</v>
      </c>
      <c r="E102" s="307">
        <f t="shared" ca="1" si="38"/>
        <v>-43.251635813162544</v>
      </c>
      <c r="F102" s="304">
        <f t="shared" ca="1" si="39"/>
        <v>43.758562854507993</v>
      </c>
      <c r="G102" s="306">
        <f t="shared" ca="1" si="40"/>
        <v>20.640120595988865</v>
      </c>
      <c r="H102" s="307">
        <f t="shared" ca="1" si="41"/>
        <v>103.83214090864988</v>
      </c>
      <c r="I102" s="304">
        <f t="shared" ca="1" si="42"/>
        <v>105.86372402239913</v>
      </c>
      <c r="J102" s="306">
        <f t="shared" ca="1" si="43"/>
        <v>11.19039715630325</v>
      </c>
      <c r="K102" s="307">
        <f t="shared" ca="1" si="44"/>
        <v>58.483259228341652</v>
      </c>
      <c r="L102" s="304">
        <f t="shared" ca="1" si="29"/>
        <v>59.544240682749567</v>
      </c>
      <c r="M102" s="306">
        <f t="shared" ca="1" si="45"/>
        <v>1.374570712619698</v>
      </c>
      <c r="N102" s="304">
        <f t="shared" ca="1" si="46"/>
        <v>78.757100475398659</v>
      </c>
      <c r="P102" s="310">
        <f t="shared" ca="1" si="47"/>
        <v>22</v>
      </c>
      <c r="Q102" s="304">
        <f t="shared" ca="1" si="48"/>
        <v>0</v>
      </c>
      <c r="R102" s="306">
        <f t="shared" ca="1" si="49"/>
        <v>0</v>
      </c>
      <c r="S102" s="307">
        <f t="shared" ca="1" si="50"/>
        <v>0.4270000000000001</v>
      </c>
      <c r="T102" s="304">
        <f t="shared" ca="1" si="30"/>
        <v>4.1888700000000014</v>
      </c>
      <c r="U102" s="311">
        <f t="shared" ca="1" si="31"/>
        <v>0</v>
      </c>
      <c r="V102" s="306">
        <f t="shared" ca="1" si="32"/>
        <v>1.2178566889501221</v>
      </c>
      <c r="W102" s="304">
        <f t="shared" ca="1" si="33"/>
        <v>14.437450626501299</v>
      </c>
      <c r="Y102" s="314" t="str">
        <f t="shared" ca="1" si="51"/>
        <v>Fin de propulsion</v>
      </c>
      <c r="Z102" s="315" t="str">
        <f t="shared" ca="1" si="52"/>
        <v/>
      </c>
      <c r="AA102" s="316" t="str">
        <f t="shared" ca="1" si="53"/>
        <v/>
      </c>
      <c r="AC102" s="310" t="e">
        <f t="shared" ca="1" si="54"/>
        <v>#N/A</v>
      </c>
      <c r="AD102" s="323" t="e">
        <f t="shared" ca="1" si="55"/>
        <v>#N/A</v>
      </c>
      <c r="AE102" s="324">
        <f t="shared" ca="1" si="34"/>
        <v>58.483259228341652</v>
      </c>
      <c r="AG102" s="306">
        <f t="shared" ca="1" si="56"/>
        <v>-43.716818937749878</v>
      </c>
      <c r="AH102" s="304">
        <f t="shared" ca="1" si="57"/>
        <v>-34.09473314806376</v>
      </c>
    </row>
    <row r="103" spans="1:34" x14ac:dyDescent="0.3">
      <c r="A103" s="347">
        <f t="shared" ca="1" si="35"/>
        <v>0.01</v>
      </c>
      <c r="B103" s="304">
        <f t="shared" ca="1" si="36"/>
        <v>0.99000000000000066</v>
      </c>
      <c r="D103" s="306">
        <f t="shared" ca="1" si="37"/>
        <v>-6.5921593996375965</v>
      </c>
      <c r="E103" s="307">
        <f t="shared" ca="1" si="38"/>
        <v>-42.972501182695169</v>
      </c>
      <c r="F103" s="304">
        <f t="shared" ca="1" si="39"/>
        <v>43.475193196200614</v>
      </c>
      <c r="G103" s="306">
        <f t="shared" ca="1" si="40"/>
        <v>20.57419900199249</v>
      </c>
      <c r="H103" s="307">
        <f t="shared" ca="1" si="41"/>
        <v>103.40241589682293</v>
      </c>
      <c r="I103" s="304">
        <f t="shared" ca="1" si="42"/>
        <v>105.42939475247465</v>
      </c>
      <c r="J103" s="306">
        <f t="shared" ca="1" si="43"/>
        <v>11.396468754293156</v>
      </c>
      <c r="K103" s="307">
        <f t="shared" ca="1" si="44"/>
        <v>59.519432012369016</v>
      </c>
      <c r="L103" s="304">
        <f t="shared" ca="1" si="29"/>
        <v>60.600678933016894</v>
      </c>
      <c r="M103" s="306">
        <f t="shared" ca="1" si="45"/>
        <v>1.3743892979678995</v>
      </c>
      <c r="N103" s="304">
        <f t="shared" ca="1" si="46"/>
        <v>78.74670618150877</v>
      </c>
      <c r="P103" s="310">
        <f t="shared" ca="1" si="47"/>
        <v>22</v>
      </c>
      <c r="Q103" s="304">
        <f t="shared" ca="1" si="48"/>
        <v>0</v>
      </c>
      <c r="R103" s="306">
        <f t="shared" ca="1" si="49"/>
        <v>0</v>
      </c>
      <c r="S103" s="307">
        <f t="shared" ca="1" si="50"/>
        <v>0.4270000000000001</v>
      </c>
      <c r="T103" s="304">
        <f t="shared" ca="1" si="30"/>
        <v>4.1888700000000014</v>
      </c>
      <c r="U103" s="311">
        <f t="shared" ca="1" si="31"/>
        <v>0</v>
      </c>
      <c r="V103" s="306">
        <f t="shared" ca="1" si="32"/>
        <v>1.2177305033939352</v>
      </c>
      <c r="W103" s="304">
        <f t="shared" ca="1" si="33"/>
        <v>14.317744337665761</v>
      </c>
      <c r="Y103" s="314" t="str">
        <f t="shared" ca="1" si="51"/>
        <v/>
      </c>
      <c r="Z103" s="315" t="str">
        <f t="shared" ca="1" si="52"/>
        <v/>
      </c>
      <c r="AA103" s="316" t="str">
        <f t="shared" ca="1" si="53"/>
        <v/>
      </c>
      <c r="AC103" s="310" t="e">
        <f t="shared" ca="1" si="54"/>
        <v>#N/A</v>
      </c>
      <c r="AD103" s="323" t="e">
        <f t="shared" ca="1" si="55"/>
        <v>#N/A</v>
      </c>
      <c r="AE103" s="324">
        <f t="shared" ca="1" si="34"/>
        <v>59.519432012369016</v>
      </c>
      <c r="AG103" s="306">
        <f t="shared" ca="1" si="56"/>
        <v>-43.433100483243585</v>
      </c>
      <c r="AH103" s="304">
        <f t="shared" ca="1" si="57"/>
        <v>-33.811359781033481</v>
      </c>
    </row>
    <row r="104" spans="1:34" x14ac:dyDescent="0.3">
      <c r="A104" s="347">
        <f t="shared" ca="1" si="35"/>
        <v>0.01</v>
      </c>
      <c r="B104" s="304">
        <f t="shared" ca="1" si="36"/>
        <v>1.0000000000000007</v>
      </c>
      <c r="D104" s="306">
        <f t="shared" ca="1" si="37"/>
        <v>-6.5434675206779875</v>
      </c>
      <c r="E104" s="307">
        <f t="shared" ca="1" si="38"/>
        <v>-42.696351974867767</v>
      </c>
      <c r="F104" s="304">
        <f t="shared" ca="1" si="39"/>
        <v>43.194854313401294</v>
      </c>
      <c r="G104" s="306">
        <f t="shared" ca="1" si="40"/>
        <v>20.508764326785709</v>
      </c>
      <c r="H104" s="307">
        <f t="shared" ca="1" si="41"/>
        <v>102.97545237707425</v>
      </c>
      <c r="I104" s="304">
        <f t="shared" ca="1" si="42"/>
        <v>104.99787239022858</v>
      </c>
      <c r="J104" s="306">
        <f t="shared" ca="1" si="43"/>
        <v>11.601883570937048</v>
      </c>
      <c r="K104" s="307">
        <f t="shared" ca="1" si="44"/>
        <v>60.551321353738501</v>
      </c>
      <c r="L104" s="304">
        <f t="shared" ca="1" si="29"/>
        <v>61.652787609947431</v>
      </c>
      <c r="M104" s="306">
        <f t="shared" ca="1" si="45"/>
        <v>1.3742069714936933</v>
      </c>
      <c r="N104" s="304">
        <f t="shared" ca="1" si="46"/>
        <v>78.736259644043258</v>
      </c>
      <c r="P104" s="310">
        <f t="shared" ca="1" si="47"/>
        <v>22</v>
      </c>
      <c r="Q104" s="304">
        <f t="shared" ca="1" si="48"/>
        <v>0</v>
      </c>
      <c r="R104" s="306">
        <f t="shared" ca="1" si="49"/>
        <v>0</v>
      </c>
      <c r="S104" s="307">
        <f t="shared" ca="1" si="50"/>
        <v>0.4270000000000001</v>
      </c>
      <c r="T104" s="304">
        <f t="shared" ca="1" si="30"/>
        <v>4.1888700000000014</v>
      </c>
      <c r="U104" s="311">
        <f t="shared" ca="1" si="31"/>
        <v>0</v>
      </c>
      <c r="V104" s="306">
        <f t="shared" ca="1" si="32"/>
        <v>1.2176048524320096</v>
      </c>
      <c r="W104" s="304">
        <f t="shared" ca="1" si="33"/>
        <v>14.199313882497458</v>
      </c>
      <c r="Y104" s="314" t="str">
        <f t="shared" ca="1" si="51"/>
        <v/>
      </c>
      <c r="Z104" s="315" t="str">
        <f t="shared" ca="1" si="52"/>
        <v/>
      </c>
      <c r="AA104" s="316" t="str">
        <f t="shared" ca="1" si="53"/>
        <v/>
      </c>
      <c r="AC104" s="310">
        <f t="shared" ca="1" si="54"/>
        <v>1.0000000000000007</v>
      </c>
      <c r="AD104" s="323">
        <f t="shared" ca="1" si="55"/>
        <v>11.601883570937048</v>
      </c>
      <c r="AE104" s="324">
        <f t="shared" ca="1" si="34"/>
        <v>60.551321353738501</v>
      </c>
      <c r="AG104" s="306">
        <f t="shared" ca="1" si="56"/>
        <v>-43.152410746521241</v>
      </c>
      <c r="AH104" s="304">
        <f t="shared" ca="1" si="57"/>
        <v>-33.531017184228944</v>
      </c>
    </row>
    <row r="105" spans="1:34" x14ac:dyDescent="0.3">
      <c r="A105" s="347">
        <f t="shared" ca="1" si="35"/>
        <v>0.01</v>
      </c>
      <c r="B105" s="304">
        <f t="shared" ca="1" si="36"/>
        <v>1.0100000000000007</v>
      </c>
      <c r="D105" s="306">
        <f t="shared" ca="1" si="37"/>
        <v>-6.4952890134768912</v>
      </c>
      <c r="E105" s="307">
        <f t="shared" ca="1" si="38"/>
        <v>-42.423145961653901</v>
      </c>
      <c r="F105" s="304">
        <f t="shared" ca="1" si="39"/>
        <v>42.917503336661902</v>
      </c>
      <c r="G105" s="306">
        <f t="shared" ca="1" si="40"/>
        <v>20.44381143665094</v>
      </c>
      <c r="H105" s="307">
        <f t="shared" ca="1" si="41"/>
        <v>102.55122091745771</v>
      </c>
      <c r="I105" s="304">
        <f t="shared" ca="1" si="42"/>
        <v>104.569127077348</v>
      </c>
      <c r="J105" s="306">
        <f t="shared" ca="1" si="43"/>
        <v>11.806646449754231</v>
      </c>
      <c r="K105" s="307">
        <f t="shared" ca="1" si="44"/>
        <v>61.578954720211158</v>
      </c>
      <c r="L105" s="304">
        <f t="shared" ca="1" si="29"/>
        <v>62.700594612996376</v>
      </c>
      <c r="M105" s="306">
        <f t="shared" ca="1" si="45"/>
        <v>1.3740237297048583</v>
      </c>
      <c r="N105" s="304">
        <f t="shared" ca="1" si="46"/>
        <v>78.725760662912577</v>
      </c>
      <c r="P105" s="310">
        <f t="shared" ca="1" si="47"/>
        <v>22</v>
      </c>
      <c r="Q105" s="304">
        <f t="shared" ca="1" si="48"/>
        <v>0</v>
      </c>
      <c r="R105" s="306">
        <f t="shared" ca="1" si="49"/>
        <v>0</v>
      </c>
      <c r="S105" s="307">
        <f t="shared" ca="1" si="50"/>
        <v>0.4270000000000001</v>
      </c>
      <c r="T105" s="304">
        <f t="shared" ca="1" si="30"/>
        <v>4.1888700000000014</v>
      </c>
      <c r="U105" s="311">
        <f t="shared" ca="1" si="31"/>
        <v>0</v>
      </c>
      <c r="V105" s="306">
        <f t="shared" ca="1" si="32"/>
        <v>1.2174797325571916</v>
      </c>
      <c r="W105" s="304">
        <f t="shared" ca="1" si="33"/>
        <v>14.082141279661654</v>
      </c>
      <c r="Y105" s="314" t="str">
        <f t="shared" ca="1" si="51"/>
        <v/>
      </c>
      <c r="Z105" s="315" t="str">
        <f t="shared" ca="1" si="52"/>
        <v/>
      </c>
      <c r="AA105" s="316" t="str">
        <f t="shared" ca="1" si="53"/>
        <v/>
      </c>
      <c r="AC105" s="310" t="e">
        <f t="shared" ca="1" si="54"/>
        <v>#N/A</v>
      </c>
      <c r="AD105" s="323" t="e">
        <f t="shared" ca="1" si="55"/>
        <v>#N/A</v>
      </c>
      <c r="AE105" s="324">
        <f t="shared" ca="1" si="34"/>
        <v>61.578954720211158</v>
      </c>
      <c r="AG105" s="306">
        <f t="shared" ca="1" si="56"/>
        <v>-42.874706846828126</v>
      </c>
      <c r="AH105" s="304">
        <f t="shared" ca="1" si="57"/>
        <v>-33.253662488284441</v>
      </c>
    </row>
    <row r="106" spans="1:34" x14ac:dyDescent="0.3">
      <c r="A106" s="347">
        <f t="shared" ca="1" si="35"/>
        <v>0.01</v>
      </c>
      <c r="B106" s="304">
        <f t="shared" ca="1" si="36"/>
        <v>1.0200000000000007</v>
      </c>
      <c r="D106" s="306">
        <f t="shared" ca="1" si="37"/>
        <v>-6.4476166188158182</v>
      </c>
      <c r="E106" s="307">
        <f t="shared" ca="1" si="38"/>
        <v>-42.15284166218914</v>
      </c>
      <c r="F106" s="304">
        <f t="shared" ca="1" si="39"/>
        <v>42.643098155045188</v>
      </c>
      <c r="G106" s="306">
        <f t="shared" ca="1" si="40"/>
        <v>20.379335270462782</v>
      </c>
      <c r="H106" s="307">
        <f t="shared" ca="1" si="41"/>
        <v>102.12969250083582</v>
      </c>
      <c r="I106" s="304">
        <f t="shared" ca="1" si="42"/>
        <v>104.14312937674384</v>
      </c>
      <c r="J106" s="306">
        <f t="shared" ca="1" si="43"/>
        <v>12.010762183289799</v>
      </c>
      <c r="K106" s="307">
        <f t="shared" ca="1" si="44"/>
        <v>62.602359287302626</v>
      </c>
      <c r="L106" s="304">
        <f t="shared" ca="1" si="29"/>
        <v>63.744127545681181</v>
      </c>
      <c r="M106" s="306">
        <f t="shared" ca="1" si="45"/>
        <v>1.3738395690840806</v>
      </c>
      <c r="N106" s="304">
        <f t="shared" ca="1" si="46"/>
        <v>78.715209036589513</v>
      </c>
      <c r="P106" s="310">
        <f t="shared" ca="1" si="47"/>
        <v>22</v>
      </c>
      <c r="Q106" s="304">
        <f t="shared" ca="1" si="48"/>
        <v>0</v>
      </c>
      <c r="R106" s="306">
        <f t="shared" ca="1" si="49"/>
        <v>0</v>
      </c>
      <c r="S106" s="307">
        <f t="shared" ca="1" si="50"/>
        <v>0.4270000000000001</v>
      </c>
      <c r="T106" s="304">
        <f t="shared" ca="1" si="30"/>
        <v>4.1888700000000014</v>
      </c>
      <c r="U106" s="311">
        <f t="shared" ca="1" si="31"/>
        <v>0</v>
      </c>
      <c r="V106" s="306">
        <f t="shared" ca="1" si="32"/>
        <v>1.2173551402999876</v>
      </c>
      <c r="W106" s="304">
        <f t="shared" ca="1" si="33"/>
        <v>13.966208864846882</v>
      </c>
      <c r="Y106" s="314" t="str">
        <f t="shared" ca="1" si="51"/>
        <v/>
      </c>
      <c r="Z106" s="315" t="str">
        <f t="shared" ca="1" si="52"/>
        <v/>
      </c>
      <c r="AA106" s="316" t="str">
        <f t="shared" ca="1" si="53"/>
        <v/>
      </c>
      <c r="AC106" s="310" t="e">
        <f t="shared" ca="1" si="54"/>
        <v>#N/A</v>
      </c>
      <c r="AD106" s="323" t="e">
        <f t="shared" ca="1" si="55"/>
        <v>#N/A</v>
      </c>
      <c r="AE106" s="324">
        <f t="shared" ca="1" si="34"/>
        <v>62.602359287302626</v>
      </c>
      <c r="AG106" s="306">
        <f t="shared" ca="1" si="56"/>
        <v>-42.599946661825342</v>
      </c>
      <c r="AH106" s="304">
        <f t="shared" ca="1" si="57"/>
        <v>-32.979253582345784</v>
      </c>
    </row>
    <row r="107" spans="1:34" x14ac:dyDescent="0.3">
      <c r="A107" s="347">
        <f t="shared" ca="1" si="35"/>
        <v>0.01</v>
      </c>
      <c r="B107" s="304">
        <f t="shared" ca="1" si="36"/>
        <v>1.0300000000000007</v>
      </c>
      <c r="D107" s="306">
        <f t="shared" ca="1" si="37"/>
        <v>-6.4004432054181244</v>
      </c>
      <c r="E107" s="307">
        <f t="shared" ca="1" si="38"/>
        <v>-41.885398326943218</v>
      </c>
      <c r="F107" s="304">
        <f t="shared" ca="1" si="39"/>
        <v>42.371597400056572</v>
      </c>
      <c r="G107" s="306">
        <f t="shared" ca="1" si="40"/>
        <v>20.315330838408602</v>
      </c>
      <c r="H107" s="307">
        <f t="shared" ca="1" si="41"/>
        <v>101.71083851756639</v>
      </c>
      <c r="I107" s="304">
        <f t="shared" ca="1" si="42"/>
        <v>103.71985026512746</v>
      </c>
      <c r="J107" s="306">
        <f t="shared" ca="1" si="43"/>
        <v>12.214235513834156</v>
      </c>
      <c r="K107" s="307">
        <f t="shared" ca="1" si="44"/>
        <v>63.621561942394635</v>
      </c>
      <c r="L107" s="304">
        <f t="shared" ca="1" si="29"/>
        <v>64.78341371969654</v>
      </c>
      <c r="M107" s="306">
        <f t="shared" ca="1" si="45"/>
        <v>1.3736544860887752</v>
      </c>
      <c r="N107" s="304">
        <f t="shared" ca="1" si="46"/>
        <v>78.704604562098865</v>
      </c>
      <c r="P107" s="310">
        <f t="shared" ca="1" si="47"/>
        <v>22</v>
      </c>
      <c r="Q107" s="304">
        <f t="shared" ca="1" si="48"/>
        <v>0</v>
      </c>
      <c r="R107" s="306">
        <f t="shared" ca="1" si="49"/>
        <v>0</v>
      </c>
      <c r="S107" s="307">
        <f t="shared" ca="1" si="50"/>
        <v>0.4270000000000001</v>
      </c>
      <c r="T107" s="304">
        <f t="shared" ca="1" si="30"/>
        <v>4.1888700000000014</v>
      </c>
      <c r="U107" s="311">
        <f t="shared" ca="1" si="31"/>
        <v>0</v>
      </c>
      <c r="V107" s="306">
        <f t="shared" ca="1" si="32"/>
        <v>1.2172310722280304</v>
      </c>
      <c r="W107" s="304">
        <f t="shared" ca="1" si="33"/>
        <v>13.851499284072988</v>
      </c>
      <c r="Y107" s="314" t="str">
        <f t="shared" ca="1" si="51"/>
        <v/>
      </c>
      <c r="Z107" s="315" t="str">
        <f t="shared" ca="1" si="52"/>
        <v/>
      </c>
      <c r="AA107" s="316" t="str">
        <f t="shared" ca="1" si="53"/>
        <v/>
      </c>
      <c r="AC107" s="310" t="e">
        <f t="shared" ca="1" si="54"/>
        <v>#N/A</v>
      </c>
      <c r="AD107" s="323" t="e">
        <f t="shared" ca="1" si="55"/>
        <v>#N/A</v>
      </c>
      <c r="AE107" s="324">
        <f t="shared" ca="1" si="34"/>
        <v>63.621561942394635</v>
      </c>
      <c r="AG107" s="306">
        <f t="shared" ca="1" si="56"/>
        <v>-42.328088811520708</v>
      </c>
      <c r="AH107" s="304">
        <f t="shared" ca="1" si="57"/>
        <v>-32.707749098002061</v>
      </c>
    </row>
    <row r="108" spans="1:34" x14ac:dyDescent="0.3">
      <c r="A108" s="347">
        <f t="shared" ca="1" si="35"/>
        <v>0.01</v>
      </c>
      <c r="B108" s="304">
        <f t="shared" ca="1" si="36"/>
        <v>1.0400000000000007</v>
      </c>
      <c r="D108" s="306">
        <f t="shared" ca="1" si="37"/>
        <v>-6.353761767248022</v>
      </c>
      <c r="E108" s="307">
        <f t="shared" ca="1" si="38"/>
        <v>-41.620775922282469</v>
      </c>
      <c r="F108" s="304">
        <f t="shared" ca="1" si="39"/>
        <v>42.102960429972029</v>
      </c>
      <c r="G108" s="306">
        <f t="shared" ca="1" si="40"/>
        <v>20.251793220736122</v>
      </c>
      <c r="H108" s="307">
        <f t="shared" ca="1" si="41"/>
        <v>101.29463075834356</v>
      </c>
      <c r="I108" s="304">
        <f t="shared" ca="1" si="42"/>
        <v>103.29926112574385</v>
      </c>
      <c r="J108" s="306">
        <f t="shared" ca="1" si="43"/>
        <v>12.417071134129881</v>
      </c>
      <c r="K108" s="307">
        <f t="shared" ca="1" si="44"/>
        <v>64.636589288774189</v>
      </c>
      <c r="L108" s="304">
        <f t="shared" ca="1" si="29"/>
        <v>65.818480158962345</v>
      </c>
      <c r="M108" s="306">
        <f t="shared" ca="1" si="45"/>
        <v>1.3734684771509036</v>
      </c>
      <c r="N108" s="304">
        <f t="shared" ca="1" si="46"/>
        <v>78.693947035007113</v>
      </c>
      <c r="P108" s="310">
        <f t="shared" ca="1" si="47"/>
        <v>22</v>
      </c>
      <c r="Q108" s="304">
        <f t="shared" ca="1" si="48"/>
        <v>0</v>
      </c>
      <c r="R108" s="306">
        <f t="shared" ca="1" si="49"/>
        <v>0</v>
      </c>
      <c r="S108" s="307">
        <f t="shared" ca="1" si="50"/>
        <v>0.4270000000000001</v>
      </c>
      <c r="T108" s="304">
        <f t="shared" ca="1" si="30"/>
        <v>4.1888700000000014</v>
      </c>
      <c r="U108" s="311">
        <f t="shared" ca="1" si="31"/>
        <v>0</v>
      </c>
      <c r="V108" s="306">
        <f t="shared" ca="1" si="32"/>
        <v>1.2171075249455536</v>
      </c>
      <c r="W108" s="304">
        <f t="shared" ca="1" si="33"/>
        <v>13.737995487163561</v>
      </c>
      <c r="Y108" s="314" t="str">
        <f t="shared" ca="1" si="51"/>
        <v/>
      </c>
      <c r="Z108" s="315" t="str">
        <f t="shared" ca="1" si="52"/>
        <v/>
      </c>
      <c r="AA108" s="316" t="str">
        <f t="shared" ca="1" si="53"/>
        <v/>
      </c>
      <c r="AC108" s="310" t="e">
        <f t="shared" ca="1" si="54"/>
        <v>#N/A</v>
      </c>
      <c r="AD108" s="323" t="e">
        <f t="shared" ca="1" si="55"/>
        <v>#N/A</v>
      </c>
      <c r="AE108" s="324">
        <f t="shared" ca="1" si="34"/>
        <v>64.636589288774189</v>
      </c>
      <c r="AG108" s="306">
        <f t="shared" ca="1" si="56"/>
        <v>-42.059092642595822</v>
      </c>
      <c r="AH108" s="304">
        <f t="shared" ca="1" si="57"/>
        <v>-32.439108393613544</v>
      </c>
    </row>
    <row r="109" spans="1:34" x14ac:dyDescent="0.3">
      <c r="A109" s="347">
        <f t="shared" ca="1" si="35"/>
        <v>0.01</v>
      </c>
      <c r="B109" s="304">
        <f t="shared" ca="1" si="36"/>
        <v>1.0500000000000007</v>
      </c>
      <c r="D109" s="306">
        <f t="shared" ca="1" si="37"/>
        <v>-6.3075654208760534</v>
      </c>
      <c r="E109" s="307">
        <f t="shared" ca="1" si="38"/>
        <v>-41.358935115411562</v>
      </c>
      <c r="F109" s="304">
        <f t="shared" ca="1" si="39"/>
        <v>41.837147314551153</v>
      </c>
      <c r="G109" s="306">
        <f t="shared" ca="1" si="40"/>
        <v>20.188717566527362</v>
      </c>
      <c r="H109" s="307">
        <f t="shared" ca="1" si="41"/>
        <v>100.88104140718944</v>
      </c>
      <c r="I109" s="304">
        <f t="shared" ca="1" si="42"/>
        <v>102.88133374125785</v>
      </c>
      <c r="J109" s="306">
        <f t="shared" ca="1" si="43"/>
        <v>12.619273688066198</v>
      </c>
      <c r="K109" s="307">
        <f t="shared" ca="1" si="44"/>
        <v>65.64746764960185</v>
      </c>
      <c r="L109" s="304">
        <f t="shared" ca="1" si="29"/>
        <v>66.849353603605181</v>
      </c>
      <c r="M109" s="306">
        <f t="shared" ca="1" si="45"/>
        <v>1.3732815386767923</v>
      </c>
      <c r="N109" s="304">
        <f t="shared" ca="1" si="46"/>
        <v>78.68323624941192</v>
      </c>
      <c r="P109" s="310">
        <f t="shared" ca="1" si="47"/>
        <v>22</v>
      </c>
      <c r="Q109" s="304">
        <f t="shared" ca="1" si="48"/>
        <v>0</v>
      </c>
      <c r="R109" s="306">
        <f t="shared" ca="1" si="49"/>
        <v>0</v>
      </c>
      <c r="S109" s="307">
        <f t="shared" ca="1" si="50"/>
        <v>0.4270000000000001</v>
      </c>
      <c r="T109" s="304">
        <f t="shared" ca="1" si="30"/>
        <v>4.1888700000000014</v>
      </c>
      <c r="U109" s="311">
        <f t="shared" ca="1" si="31"/>
        <v>0</v>
      </c>
      <c r="V109" s="306">
        <f t="shared" ca="1" si="32"/>
        <v>1.2169844950928779</v>
      </c>
      <c r="W109" s="304">
        <f t="shared" ca="1" si="33"/>
        <v>13.625680721378227</v>
      </c>
      <c r="Y109" s="314" t="str">
        <f t="shared" ca="1" si="51"/>
        <v/>
      </c>
      <c r="Z109" s="315" t="str">
        <f t="shared" ca="1" si="52"/>
        <v/>
      </c>
      <c r="AA109" s="316" t="str">
        <f t="shared" ca="1" si="53"/>
        <v/>
      </c>
      <c r="AC109" s="310" t="e">
        <f t="shared" ca="1" si="54"/>
        <v>#N/A</v>
      </c>
      <c r="AD109" s="323" t="e">
        <f t="shared" ca="1" si="55"/>
        <v>#N/A</v>
      </c>
      <c r="AE109" s="324">
        <f t="shared" ca="1" si="34"/>
        <v>65.64746764960185</v>
      </c>
      <c r="AG109" s="306">
        <f t="shared" ca="1" si="56"/>
        <v>-41.792918213118178</v>
      </c>
      <c r="AH109" s="304">
        <f t="shared" ca="1" si="57"/>
        <v>-32.173291539024724</v>
      </c>
    </row>
    <row r="110" spans="1:34" x14ac:dyDescent="0.3">
      <c r="A110" s="347">
        <f t="shared" ca="1" si="35"/>
        <v>0.01</v>
      </c>
      <c r="B110" s="304">
        <f t="shared" ca="1" si="36"/>
        <v>1.0600000000000007</v>
      </c>
      <c r="D110" s="306">
        <f t="shared" ca="1" si="37"/>
        <v>-6.2618474029089812</v>
      </c>
      <c r="E110" s="307">
        <f t="shared" ca="1" si="38"/>
        <v>-41.099837259683895</v>
      </c>
      <c r="F110" s="304">
        <f t="shared" ca="1" si="39"/>
        <v>41.574118820124362</v>
      </c>
      <c r="G110" s="306">
        <f t="shared" ca="1" si="40"/>
        <v>20.126099092498272</v>
      </c>
      <c r="H110" s="307">
        <f t="shared" ca="1" si="41"/>
        <v>100.47004303459261</v>
      </c>
      <c r="I110" s="304">
        <f t="shared" ca="1" si="42"/>
        <v>102.46604028678941</v>
      </c>
      <c r="J110" s="306">
        <f t="shared" ca="1" si="43"/>
        <v>12.820847771361326</v>
      </c>
      <c r="K110" s="307">
        <f t="shared" ca="1" si="44"/>
        <v>66.654223071810762</v>
      </c>
      <c r="L110" s="304">
        <f t="shared" ca="1" si="29"/>
        <v>67.876060513874336</v>
      </c>
      <c r="M110" s="306">
        <f t="shared" ca="1" si="45"/>
        <v>1.3730936670469465</v>
      </c>
      <c r="N110" s="304">
        <f t="shared" ca="1" si="46"/>
        <v>78.67247199793151</v>
      </c>
      <c r="P110" s="310">
        <f t="shared" ca="1" si="47"/>
        <v>22</v>
      </c>
      <c r="Q110" s="304">
        <f t="shared" ca="1" si="48"/>
        <v>0</v>
      </c>
      <c r="R110" s="306">
        <f t="shared" ca="1" si="49"/>
        <v>0</v>
      </c>
      <c r="S110" s="307">
        <f t="shared" ca="1" si="50"/>
        <v>0.4270000000000001</v>
      </c>
      <c r="T110" s="304">
        <f t="shared" ca="1" si="30"/>
        <v>4.1888700000000014</v>
      </c>
      <c r="U110" s="311">
        <f t="shared" ca="1" si="31"/>
        <v>0</v>
      </c>
      <c r="V110" s="306">
        <f t="shared" ca="1" si="32"/>
        <v>1.2168619793459052</v>
      </c>
      <c r="W110" s="304">
        <f t="shared" ca="1" si="33"/>
        <v>13.514538525200344</v>
      </c>
      <c r="Y110" s="314" t="str">
        <f t="shared" ca="1" si="51"/>
        <v/>
      </c>
      <c r="Z110" s="315" t="str">
        <f t="shared" ca="1" si="52"/>
        <v/>
      </c>
      <c r="AA110" s="316" t="str">
        <f t="shared" ca="1" si="53"/>
        <v/>
      </c>
      <c r="AC110" s="310" t="e">
        <f t="shared" ca="1" si="54"/>
        <v>#N/A</v>
      </c>
      <c r="AD110" s="323" t="e">
        <f t="shared" ca="1" si="55"/>
        <v>#N/A</v>
      </c>
      <c r="AE110" s="324">
        <f t="shared" ca="1" si="34"/>
        <v>66.654223071810762</v>
      </c>
      <c r="AG110" s="306">
        <f t="shared" ca="1" si="56"/>
        <v>-41.529526277627582</v>
      </c>
      <c r="AH110" s="304">
        <f t="shared" ca="1" si="57"/>
        <v>-31.910259300651578</v>
      </c>
    </row>
    <row r="111" spans="1:34" x14ac:dyDescent="0.3">
      <c r="A111" s="347">
        <f t="shared" ca="1" si="35"/>
        <v>0.01</v>
      </c>
      <c r="B111" s="304">
        <f t="shared" ca="1" si="36"/>
        <v>1.0700000000000007</v>
      </c>
      <c r="D111" s="306">
        <f t="shared" ca="1" si="37"/>
        <v>-6.2166010674824843</v>
      </c>
      <c r="E111" s="307">
        <f t="shared" ca="1" si="38"/>
        <v>-40.843444380270604</v>
      </c>
      <c r="F111" s="304">
        <f t="shared" ca="1" si="39"/>
        <v>41.313836395044248</v>
      </c>
      <c r="G111" s="306">
        <f t="shared" ca="1" si="40"/>
        <v>20.063933081823446</v>
      </c>
      <c r="H111" s="307">
        <f t="shared" ca="1" si="41"/>
        <v>100.0616085907899</v>
      </c>
      <c r="I111" s="304">
        <f t="shared" ca="1" si="42"/>
        <v>102.05335332309433</v>
      </c>
      <c r="J111" s="306">
        <f t="shared" ca="1" si="43"/>
        <v>13.021797932232934</v>
      </c>
      <c r="K111" s="307">
        <f t="shared" ca="1" si="44"/>
        <v>67.656881329937676</v>
      </c>
      <c r="L111" s="304">
        <f t="shared" ca="1" si="29"/>
        <v>68.898627073993097</v>
      </c>
      <c r="M111" s="306">
        <f t="shared" ca="1" si="45"/>
        <v>1.3729048586158645</v>
      </c>
      <c r="N111" s="304">
        <f t="shared" ca="1" si="46"/>
        <v>78.661654071694031</v>
      </c>
      <c r="P111" s="310">
        <f t="shared" ca="1" si="47"/>
        <v>22</v>
      </c>
      <c r="Q111" s="304">
        <f t="shared" ca="1" si="48"/>
        <v>0</v>
      </c>
      <c r="R111" s="306">
        <f t="shared" ca="1" si="49"/>
        <v>0</v>
      </c>
      <c r="S111" s="307">
        <f t="shared" ca="1" si="50"/>
        <v>0.4270000000000001</v>
      </c>
      <c r="T111" s="304">
        <f t="shared" ca="1" si="30"/>
        <v>4.1888700000000014</v>
      </c>
      <c r="U111" s="311">
        <f t="shared" ca="1" si="31"/>
        <v>0</v>
      </c>
      <c r="V111" s="306">
        <f t="shared" ca="1" si="32"/>
        <v>1.21673997441562</v>
      </c>
      <c r="W111" s="304">
        <f t="shared" ca="1" si="33"/>
        <v>13.404552722275593</v>
      </c>
      <c r="Y111" s="314" t="str">
        <f t="shared" ca="1" si="51"/>
        <v/>
      </c>
      <c r="Z111" s="315" t="str">
        <f t="shared" ca="1" si="52"/>
        <v/>
      </c>
      <c r="AA111" s="316" t="str">
        <f t="shared" ca="1" si="53"/>
        <v/>
      </c>
      <c r="AC111" s="310" t="e">
        <f t="shared" ca="1" si="54"/>
        <v>#N/A</v>
      </c>
      <c r="AD111" s="323" t="e">
        <f t="shared" ca="1" si="55"/>
        <v>#N/A</v>
      </c>
      <c r="AE111" s="324">
        <f t="shared" ca="1" si="34"/>
        <v>67.656881329937676</v>
      </c>
      <c r="AG111" s="306">
        <f t="shared" ca="1" si="56"/>
        <v>-41.268878272586541</v>
      </c>
      <c r="AH111" s="304">
        <f t="shared" ca="1" si="57"/>
        <v>-31.649973126932881</v>
      </c>
    </row>
    <row r="112" spans="1:34" x14ac:dyDescent="0.3">
      <c r="A112" s="347">
        <f t="shared" ca="1" si="35"/>
        <v>0.01</v>
      </c>
      <c r="B112" s="304">
        <f t="shared" ca="1" si="36"/>
        <v>1.0800000000000007</v>
      </c>
      <c r="D112" s="306">
        <f t="shared" ca="1" si="37"/>
        <v>-6.1718198838147114</v>
      </c>
      <c r="E112" s="307">
        <f t="shared" ca="1" si="38"/>
        <v>-40.589719160177594</v>
      </c>
      <c r="F112" s="304">
        <f t="shared" ca="1" si="39"/>
        <v>41.056262155490224</v>
      </c>
      <c r="G112" s="306">
        <f t="shared" ca="1" si="40"/>
        <v>20.002214882985299</v>
      </c>
      <c r="H112" s="307">
        <f t="shared" ca="1" si="41"/>
        <v>99.655711399188121</v>
      </c>
      <c r="I112" s="304">
        <f t="shared" ca="1" si="42"/>
        <v>101.64324578988706</v>
      </c>
      <c r="J112" s="306">
        <f t="shared" ca="1" si="43"/>
        <v>13.222128672056977</v>
      </c>
      <c r="K112" s="307">
        <f t="shared" ca="1" si="44"/>
        <v>68.655467929887564</v>
      </c>
      <c r="L112" s="304">
        <f t="shared" ca="1" si="29"/>
        <v>69.917079195946471</v>
      </c>
      <c r="M112" s="306">
        <f t="shared" ca="1" si="45"/>
        <v>1.3727151097118493</v>
      </c>
      <c r="N112" s="304">
        <f t="shared" ca="1" si="46"/>
        <v>78.650782260326721</v>
      </c>
      <c r="P112" s="310">
        <f t="shared" ca="1" si="47"/>
        <v>22</v>
      </c>
      <c r="Q112" s="304">
        <f t="shared" ca="1" si="48"/>
        <v>0</v>
      </c>
      <c r="R112" s="306">
        <f t="shared" ca="1" si="49"/>
        <v>0</v>
      </c>
      <c r="S112" s="307">
        <f t="shared" ca="1" si="50"/>
        <v>0.4270000000000001</v>
      </c>
      <c r="T112" s="304">
        <f t="shared" ca="1" si="30"/>
        <v>4.1888700000000014</v>
      </c>
      <c r="U112" s="311">
        <f t="shared" ca="1" si="31"/>
        <v>0</v>
      </c>
      <c r="V112" s="306">
        <f t="shared" ca="1" si="32"/>
        <v>1.2166184770476021</v>
      </c>
      <c r="W112" s="304">
        <f t="shared" ca="1" si="33"/>
        <v>13.295707415497599</v>
      </c>
      <c r="Y112" s="314" t="str">
        <f t="shared" ca="1" si="51"/>
        <v/>
      </c>
      <c r="Z112" s="315" t="str">
        <f t="shared" ca="1" si="52"/>
        <v/>
      </c>
      <c r="AA112" s="316" t="str">
        <f t="shared" ca="1" si="53"/>
        <v/>
      </c>
      <c r="AC112" s="310" t="e">
        <f t="shared" ca="1" si="54"/>
        <v>#N/A</v>
      </c>
      <c r="AD112" s="323" t="e">
        <f t="shared" ca="1" si="55"/>
        <v>#N/A</v>
      </c>
      <c r="AE112" s="324">
        <f t="shared" ca="1" si="34"/>
        <v>68.655467929887564</v>
      </c>
      <c r="AG112" s="306">
        <f t="shared" ca="1" si="56"/>
        <v>-41.010936302184028</v>
      </c>
      <c r="AH112" s="304">
        <f t="shared" ca="1" si="57"/>
        <v>-31.392395134134869</v>
      </c>
    </row>
    <row r="113" spans="1:34" x14ac:dyDescent="0.3">
      <c r="A113" s="347">
        <f t="shared" ca="1" si="35"/>
        <v>0.01</v>
      </c>
      <c r="B113" s="304">
        <f t="shared" ca="1" si="36"/>
        <v>1.0900000000000007</v>
      </c>
      <c r="D113" s="306">
        <f t="shared" ca="1" si="37"/>
        <v>-6.127497433819185</v>
      </c>
      <c r="E113" s="307">
        <f t="shared" ca="1" si="38"/>
        <v>-40.338624926601796</v>
      </c>
      <c r="F113" s="304">
        <f t="shared" ca="1" si="39"/>
        <v>40.801358871617502</v>
      </c>
      <c r="G113" s="306">
        <f t="shared" ca="1" si="40"/>
        <v>19.940939908647106</v>
      </c>
      <c r="H113" s="307">
        <f t="shared" ca="1" si="41"/>
        <v>99.2523251499221</v>
      </c>
      <c r="I113" s="304">
        <f t="shared" ca="1" si="42"/>
        <v>101.23569099930188</v>
      </c>
      <c r="J113" s="306">
        <f t="shared" ca="1" si="43"/>
        <v>13.42184444601514</v>
      </c>
      <c r="K113" s="307">
        <f t="shared" ca="1" si="44"/>
        <v>69.650008112633117</v>
      </c>
      <c r="L113" s="304">
        <f t="shared" ca="1" si="29"/>
        <v>70.931442523206073</v>
      </c>
      <c r="M113" s="306">
        <f t="shared" ca="1" si="45"/>
        <v>1.372524416636818</v>
      </c>
      <c r="N113" s="304">
        <f t="shared" ca="1" si="46"/>
        <v>78.63985635194507</v>
      </c>
      <c r="P113" s="310">
        <f t="shared" ca="1" si="47"/>
        <v>22</v>
      </c>
      <c r="Q113" s="304">
        <f t="shared" ca="1" si="48"/>
        <v>0</v>
      </c>
      <c r="R113" s="306">
        <f t="shared" ca="1" si="49"/>
        <v>0</v>
      </c>
      <c r="S113" s="307">
        <f t="shared" ca="1" si="50"/>
        <v>0.4270000000000001</v>
      </c>
      <c r="T113" s="304">
        <f t="shared" ca="1" si="30"/>
        <v>4.1888700000000014</v>
      </c>
      <c r="U113" s="311">
        <f t="shared" ca="1" si="31"/>
        <v>0</v>
      </c>
      <c r="V113" s="306">
        <f t="shared" ca="1" si="32"/>
        <v>1.2164974840215466</v>
      </c>
      <c r="W113" s="304">
        <f t="shared" ca="1" si="33"/>
        <v>13.187986981236213</v>
      </c>
      <c r="Y113" s="314" t="str">
        <f t="shared" ca="1" si="51"/>
        <v/>
      </c>
      <c r="Z113" s="315" t="str">
        <f t="shared" ca="1" si="52"/>
        <v/>
      </c>
      <c r="AA113" s="316" t="str">
        <f t="shared" ca="1" si="53"/>
        <v/>
      </c>
      <c r="AC113" s="310" t="e">
        <f t="shared" ca="1" si="54"/>
        <v>#N/A</v>
      </c>
      <c r="AD113" s="323" t="e">
        <f t="shared" ca="1" si="55"/>
        <v>#N/A</v>
      </c>
      <c r="AE113" s="324">
        <f t="shared" ca="1" si="34"/>
        <v>69.650008112633117</v>
      </c>
      <c r="AG113" s="306">
        <f t="shared" ca="1" si="56"/>
        <v>-40.755663124483547</v>
      </c>
      <c r="AH113" s="304">
        <f t="shared" ca="1" si="57"/>
        <v>-31.137488092500224</v>
      </c>
    </row>
    <row r="114" spans="1:34" x14ac:dyDescent="0.3">
      <c r="A114" s="347">
        <f t="shared" ca="1" si="35"/>
        <v>0.01</v>
      </c>
      <c r="B114" s="304">
        <f t="shared" ca="1" si="36"/>
        <v>1.1000000000000008</v>
      </c>
      <c r="D114" s="306">
        <f t="shared" ca="1" si="37"/>
        <v>-6.0836274097752829</v>
      </c>
      <c r="E114" s="307">
        <f t="shared" ca="1" si="38"/>
        <v>-40.090125637616467</v>
      </c>
      <c r="F114" s="304">
        <f t="shared" ca="1" si="39"/>
        <v>40.549089954040177</v>
      </c>
      <c r="G114" s="306">
        <f t="shared" ca="1" si="40"/>
        <v>19.880103634549354</v>
      </c>
      <c r="H114" s="307">
        <f t="shared" ca="1" si="41"/>
        <v>98.851423893545942</v>
      </c>
      <c r="I114" s="304">
        <f t="shared" ca="1" si="42"/>
        <v>100.8306626294895</v>
      </c>
      <c r="J114" s="306">
        <f t="shared" ca="1" si="43"/>
        <v>13.620949663731121</v>
      </c>
      <c r="K114" s="307">
        <f t="shared" ca="1" si="44"/>
        <v>70.64052685785046</v>
      </c>
      <c r="L114" s="304">
        <f t="shared" ca="1" si="29"/>
        <v>71.941742434393319</v>
      </c>
      <c r="M114" s="306">
        <f t="shared" ca="1" si="45"/>
        <v>1.3723327756661099</v>
      </c>
      <c r="N114" s="304">
        <f t="shared" ca="1" si="46"/>
        <v>78.628876133141702</v>
      </c>
      <c r="P114" s="310">
        <f t="shared" ca="1" si="47"/>
        <v>22</v>
      </c>
      <c r="Q114" s="304">
        <f t="shared" ca="1" si="48"/>
        <v>0</v>
      </c>
      <c r="R114" s="306">
        <f t="shared" ca="1" si="49"/>
        <v>0</v>
      </c>
      <c r="S114" s="307">
        <f t="shared" ca="1" si="50"/>
        <v>0.4270000000000001</v>
      </c>
      <c r="T114" s="304">
        <f t="shared" ca="1" si="30"/>
        <v>4.1888700000000014</v>
      </c>
      <c r="U114" s="311">
        <f t="shared" ca="1" si="31"/>
        <v>0</v>
      </c>
      <c r="V114" s="306">
        <f t="shared" ca="1" si="32"/>
        <v>1.2163769921507919</v>
      </c>
      <c r="W114" s="304">
        <f t="shared" ca="1" si="33"/>
        <v>13.081376063704786</v>
      </c>
      <c r="Y114" s="314" t="str">
        <f t="shared" ca="1" si="51"/>
        <v/>
      </c>
      <c r="Z114" s="315" t="str">
        <f t="shared" ca="1" si="52"/>
        <v/>
      </c>
      <c r="AA114" s="316" t="str">
        <f t="shared" ca="1" si="53"/>
        <v/>
      </c>
      <c r="AC114" s="310" t="e">
        <f t="shared" ca="1" si="54"/>
        <v>#N/A</v>
      </c>
      <c r="AD114" s="323" t="e">
        <f t="shared" ca="1" si="55"/>
        <v>#N/A</v>
      </c>
      <c r="AE114" s="324">
        <f t="shared" ca="1" si="34"/>
        <v>70.64052685785046</v>
      </c>
      <c r="AG114" s="306">
        <f t="shared" ca="1" si="56"/>
        <v>-40.503022137905305</v>
      </c>
      <c r="AH114" s="304">
        <f t="shared" ca="1" si="57"/>
        <v>-30.885215412731171</v>
      </c>
    </row>
    <row r="115" spans="1:34" x14ac:dyDescent="0.3">
      <c r="A115" s="347">
        <f t="shared" ca="1" si="35"/>
        <v>0.01</v>
      </c>
      <c r="B115" s="304">
        <f t="shared" ca="1" si="36"/>
        <v>1.1100000000000008</v>
      </c>
      <c r="D115" s="306">
        <f t="shared" ca="1" si="37"/>
        <v>-6.0402036120548397</v>
      </c>
      <c r="E115" s="307">
        <f t="shared" ca="1" si="38"/>
        <v>-39.844185869177196</v>
      </c>
      <c r="F115" s="304">
        <f t="shared" ca="1" si="39"/>
        <v>40.299419440639838</v>
      </c>
      <c r="G115" s="306">
        <f t="shared" ca="1" si="40"/>
        <v>19.819701598428804</v>
      </c>
      <c r="H115" s="307">
        <f t="shared" ca="1" si="41"/>
        <v>98.452982034854173</v>
      </c>
      <c r="I115" s="304">
        <f t="shared" ca="1" si="42"/>
        <v>100.42813471834513</v>
      </c>
      <c r="J115" s="306">
        <f t="shared" ca="1" si="43"/>
        <v>13.819448689896012</v>
      </c>
      <c r="K115" s="307">
        <f t="shared" ca="1" si="44"/>
        <v>71.627048887492464</v>
      </c>
      <c r="L115" s="304">
        <f t="shared" ca="1" si="29"/>
        <v>72.948004046881948</v>
      </c>
      <c r="M115" s="306">
        <f t="shared" ca="1" si="45"/>
        <v>1.372140183048292</v>
      </c>
      <c r="N115" s="304">
        <f t="shared" ca="1" si="46"/>
        <v>78.61784138897535</v>
      </c>
      <c r="P115" s="310">
        <f t="shared" ca="1" si="47"/>
        <v>22</v>
      </c>
      <c r="Q115" s="304">
        <f t="shared" ca="1" si="48"/>
        <v>0</v>
      </c>
      <c r="R115" s="306">
        <f t="shared" ca="1" si="49"/>
        <v>0</v>
      </c>
      <c r="S115" s="307">
        <f t="shared" ca="1" si="50"/>
        <v>0.4270000000000001</v>
      </c>
      <c r="T115" s="304">
        <f t="shared" ca="1" si="30"/>
        <v>4.1888700000000014</v>
      </c>
      <c r="U115" s="311">
        <f t="shared" ca="1" si="31"/>
        <v>0</v>
      </c>
      <c r="V115" s="306">
        <f t="shared" ca="1" si="32"/>
        <v>1.2162569982818567</v>
      </c>
      <c r="W115" s="304">
        <f t="shared" ca="1" si="33"/>
        <v>12.975859569462338</v>
      </c>
      <c r="Y115" s="314" t="str">
        <f t="shared" ca="1" si="51"/>
        <v/>
      </c>
      <c r="Z115" s="315" t="str">
        <f t="shared" ca="1" si="52"/>
        <v/>
      </c>
      <c r="AA115" s="316" t="str">
        <f t="shared" ca="1" si="53"/>
        <v/>
      </c>
      <c r="AC115" s="310" t="e">
        <f t="shared" ca="1" si="54"/>
        <v>#N/A</v>
      </c>
      <c r="AD115" s="323" t="e">
        <f t="shared" ca="1" si="55"/>
        <v>#N/A</v>
      </c>
      <c r="AE115" s="324">
        <f t="shared" ca="1" si="34"/>
        <v>71.627048887492464</v>
      </c>
      <c r="AG115" s="306">
        <f t="shared" ca="1" si="56"/>
        <v>-40.252977368033861</v>
      </c>
      <c r="AH115" s="304">
        <f t="shared" ca="1" si="57"/>
        <v>-30.635541132798085</v>
      </c>
    </row>
    <row r="116" spans="1:34" x14ac:dyDescent="0.3">
      <c r="A116" s="347">
        <f t="shared" ca="1" si="35"/>
        <v>0.01</v>
      </c>
      <c r="B116" s="304">
        <f t="shared" ca="1" si="36"/>
        <v>1.1200000000000008</v>
      </c>
      <c r="D116" s="306">
        <f t="shared" ca="1" si="37"/>
        <v>-5.9972199469031757</v>
      </c>
      <c r="E116" s="307">
        <f t="shared" ca="1" si="38"/>
        <v>-39.600770802439065</v>
      </c>
      <c r="F116" s="304">
        <f t="shared" ca="1" si="39"/>
        <v>40.052311983690075</v>
      </c>
      <c r="G116" s="306">
        <f t="shared" ca="1" si="40"/>
        <v>19.75972939895977</v>
      </c>
      <c r="H116" s="307">
        <f t="shared" ca="1" si="41"/>
        <v>98.056974326829788</v>
      </c>
      <c r="I116" s="304">
        <f t="shared" ca="1" si="42"/>
        <v>100.02808165736596</v>
      </c>
      <c r="J116" s="306">
        <f t="shared" ca="1" si="43"/>
        <v>14.017345844882955</v>
      </c>
      <c r="K116" s="307">
        <f t="shared" ca="1" si="44"/>
        <v>72.60959866930088</v>
      </c>
      <c r="L116" s="304">
        <f t="shared" ca="1" si="29"/>
        <v>73.950252220340658</v>
      </c>
      <c r="M116" s="306">
        <f t="shared" ca="1" si="45"/>
        <v>1.3719466350049636</v>
      </c>
      <c r="N116" s="304">
        <f t="shared" ca="1" si="46"/>
        <v>78.60675190295963</v>
      </c>
      <c r="P116" s="310">
        <f t="shared" ca="1" si="47"/>
        <v>22</v>
      </c>
      <c r="Q116" s="304">
        <f t="shared" ca="1" si="48"/>
        <v>0</v>
      </c>
      <c r="R116" s="306">
        <f t="shared" ca="1" si="49"/>
        <v>0</v>
      </c>
      <c r="S116" s="307">
        <f t="shared" ca="1" si="50"/>
        <v>0.4270000000000001</v>
      </c>
      <c r="T116" s="304">
        <f t="shared" ca="1" si="30"/>
        <v>4.1888700000000014</v>
      </c>
      <c r="U116" s="311">
        <f t="shared" ca="1" si="31"/>
        <v>0</v>
      </c>
      <c r="V116" s="306">
        <f t="shared" ca="1" si="32"/>
        <v>1.2161374992939844</v>
      </c>
      <c r="W116" s="304">
        <f t="shared" ca="1" si="33"/>
        <v>12.871422662047298</v>
      </c>
      <c r="Y116" s="314" t="str">
        <f t="shared" ca="1" si="51"/>
        <v/>
      </c>
      <c r="Z116" s="315" t="str">
        <f t="shared" ca="1" si="52"/>
        <v/>
      </c>
      <c r="AA116" s="316" t="str">
        <f t="shared" ca="1" si="53"/>
        <v/>
      </c>
      <c r="AC116" s="310" t="e">
        <f t="shared" ca="1" si="54"/>
        <v>#N/A</v>
      </c>
      <c r="AD116" s="323" t="e">
        <f t="shared" ca="1" si="55"/>
        <v>#N/A</v>
      </c>
      <c r="AE116" s="324">
        <f t="shared" ca="1" si="34"/>
        <v>72.60959866930088</v>
      </c>
      <c r="AG116" s="306">
        <f t="shared" ca="1" si="56"/>
        <v>-40.005493454741725</v>
      </c>
      <c r="AH116" s="304">
        <f t="shared" ca="1" si="57"/>
        <v>-30.388429905064019</v>
      </c>
    </row>
    <row r="117" spans="1:34" x14ac:dyDescent="0.3">
      <c r="A117" s="347">
        <f t="shared" ca="1" si="35"/>
        <v>0.01</v>
      </c>
      <c r="B117" s="304">
        <f t="shared" ca="1" si="36"/>
        <v>1.1300000000000008</v>
      </c>
      <c r="D117" s="306">
        <f t="shared" ca="1" si="37"/>
        <v>-5.9546704242732229</v>
      </c>
      <c r="E117" s="307">
        <f t="shared" ca="1" si="38"/>
        <v>-39.359846211377302</v>
      </c>
      <c r="F117" s="304">
        <f t="shared" ca="1" si="39"/>
        <v>39.807732837289123</v>
      </c>
      <c r="G117" s="306">
        <f t="shared" ca="1" si="40"/>
        <v>19.700182694717039</v>
      </c>
      <c r="H117" s="307">
        <f t="shared" ca="1" si="41"/>
        <v>97.663375864716016</v>
      </c>
      <c r="I117" s="304">
        <f t="shared" ca="1" si="42"/>
        <v>99.630478185633649</v>
      </c>
      <c r="J117" s="306">
        <f t="shared" ca="1" si="43"/>
        <v>14.214645405351339</v>
      </c>
      <c r="K117" s="307">
        <f t="shared" ca="1" si="44"/>
        <v>73.588200420258602</v>
      </c>
      <c r="L117" s="304">
        <f t="shared" ca="1" si="29"/>
        <v>74.948511560217284</v>
      </c>
      <c r="M117" s="306">
        <f t="shared" ca="1" si="45"/>
        <v>1.3717521277305584</v>
      </c>
      <c r="N117" s="304">
        <f t="shared" ca="1" si="46"/>
        <v>78.595607457051614</v>
      </c>
      <c r="P117" s="310">
        <f t="shared" ca="1" si="47"/>
        <v>22</v>
      </c>
      <c r="Q117" s="304">
        <f t="shared" ca="1" si="48"/>
        <v>0</v>
      </c>
      <c r="R117" s="306">
        <f t="shared" ca="1" si="49"/>
        <v>0</v>
      </c>
      <c r="S117" s="307">
        <f t="shared" ca="1" si="50"/>
        <v>0.4270000000000001</v>
      </c>
      <c r="T117" s="304">
        <f t="shared" ca="1" si="30"/>
        <v>4.1888700000000014</v>
      </c>
      <c r="U117" s="311">
        <f t="shared" ca="1" si="31"/>
        <v>0</v>
      </c>
      <c r="V117" s="306">
        <f t="shared" ca="1" si="32"/>
        <v>1.2160184920986945</v>
      </c>
      <c r="W117" s="304">
        <f t="shared" ca="1" si="33"/>
        <v>12.76805075673883</v>
      </c>
      <c r="Y117" s="314" t="str">
        <f t="shared" ca="1" si="51"/>
        <v/>
      </c>
      <c r="Z117" s="315" t="str">
        <f t="shared" ca="1" si="52"/>
        <v/>
      </c>
      <c r="AA117" s="316" t="str">
        <f t="shared" ca="1" si="53"/>
        <v/>
      </c>
      <c r="AC117" s="310" t="e">
        <f t="shared" ca="1" si="54"/>
        <v>#N/A</v>
      </c>
      <c r="AD117" s="323" t="e">
        <f t="shared" ca="1" si="55"/>
        <v>#N/A</v>
      </c>
      <c r="AE117" s="324">
        <f t="shared" ca="1" si="34"/>
        <v>73.588200420258602</v>
      </c>
      <c r="AG117" s="306">
        <f t="shared" ca="1" si="56"/>
        <v>-39.760535639621018</v>
      </c>
      <c r="AH117" s="304">
        <f t="shared" ca="1" si="57"/>
        <v>-30.143846983717317</v>
      </c>
    </row>
    <row r="118" spans="1:34" x14ac:dyDescent="0.3">
      <c r="A118" s="347">
        <f t="shared" ca="1" si="35"/>
        <v>0.01</v>
      </c>
      <c r="B118" s="304">
        <f t="shared" ca="1" si="36"/>
        <v>1.1400000000000008</v>
      </c>
      <c r="D118" s="306">
        <f t="shared" ca="1" si="37"/>
        <v>-5.9125491557111536</v>
      </c>
      <c r="E118" s="307">
        <f t="shared" ca="1" si="38"/>
        <v>-39.121378450702316</v>
      </c>
      <c r="F118" s="304">
        <f t="shared" ca="1" si="39"/>
        <v>39.565647845091277</v>
      </c>
      <c r="G118" s="306">
        <f t="shared" ca="1" si="40"/>
        <v>19.641057203159928</v>
      </c>
      <c r="H118" s="307">
        <f t="shared" ca="1" si="41"/>
        <v>97.272162080209</v>
      </c>
      <c r="I118" s="304">
        <f t="shared" ca="1" si="42"/>
        <v>99.235299383920093</v>
      </c>
      <c r="J118" s="306">
        <f t="shared" ca="1" si="43"/>
        <v>14.411351604840725</v>
      </c>
      <c r="K118" s="307">
        <f t="shared" ca="1" si="44"/>
        <v>74.562878109983231</v>
      </c>
      <c r="L118" s="304">
        <f t="shared" ca="1" si="29"/>
        <v>75.942806421165145</v>
      </c>
      <c r="M118" s="306">
        <f t="shared" ca="1" si="45"/>
        <v>1.3715566573921443</v>
      </c>
      <c r="N118" s="304">
        <f t="shared" ca="1" si="46"/>
        <v>78.58440783164049</v>
      </c>
      <c r="P118" s="310">
        <f t="shared" ca="1" si="47"/>
        <v>22</v>
      </c>
      <c r="Q118" s="304">
        <f t="shared" ca="1" si="48"/>
        <v>0</v>
      </c>
      <c r="R118" s="306">
        <f t="shared" ca="1" si="49"/>
        <v>0</v>
      </c>
      <c r="S118" s="307">
        <f t="shared" ca="1" si="50"/>
        <v>0.4270000000000001</v>
      </c>
      <c r="T118" s="304">
        <f t="shared" ca="1" si="30"/>
        <v>4.1888700000000014</v>
      </c>
      <c r="U118" s="311">
        <f t="shared" ca="1" si="31"/>
        <v>0</v>
      </c>
      <c r="V118" s="306">
        <f t="shared" ca="1" si="32"/>
        <v>1.2158999736393434</v>
      </c>
      <c r="W118" s="304">
        <f t="shared" ca="1" si="33"/>
        <v>12.665729515442646</v>
      </c>
      <c r="Y118" s="314" t="str">
        <f t="shared" ca="1" si="51"/>
        <v/>
      </c>
      <c r="Z118" s="315" t="str">
        <f t="shared" ca="1" si="52"/>
        <v/>
      </c>
      <c r="AA118" s="316" t="str">
        <f t="shared" ca="1" si="53"/>
        <v/>
      </c>
      <c r="AC118" s="310" t="e">
        <f t="shared" ca="1" si="54"/>
        <v>#N/A</v>
      </c>
      <c r="AD118" s="323" t="e">
        <f t="shared" ca="1" si="55"/>
        <v>#N/A</v>
      </c>
      <c r="AE118" s="324">
        <f t="shared" ca="1" si="34"/>
        <v>74.562878109983231</v>
      </c>
      <c r="AG118" s="306">
        <f t="shared" ca="1" si="56"/>
        <v>-39.518069753713952</v>
      </c>
      <c r="AH118" s="304">
        <f t="shared" ca="1" si="57"/>
        <v>-29.901758212503108</v>
      </c>
    </row>
    <row r="119" spans="1:34" x14ac:dyDescent="0.3">
      <c r="A119" s="347">
        <f t="shared" ca="1" si="35"/>
        <v>0.01</v>
      </c>
      <c r="B119" s="304">
        <f t="shared" ca="1" si="36"/>
        <v>1.1500000000000008</v>
      </c>
      <c r="D119" s="306">
        <f t="shared" ca="1" si="37"/>
        <v>-5.8708503522922673</v>
      </c>
      <c r="E119" s="307">
        <f t="shared" ca="1" si="38"/>
        <v>-38.885334444061876</v>
      </c>
      <c r="F119" s="304">
        <f t="shared" ca="1" si="39"/>
        <v>39.32602342832994</v>
      </c>
      <c r="G119" s="306">
        <f t="shared" ca="1" si="40"/>
        <v>19.582348699637006</v>
      </c>
      <c r="H119" s="307">
        <f t="shared" ca="1" si="41"/>
        <v>96.883308735768381</v>
      </c>
      <c r="I119" s="304">
        <f t="shared" ca="1" si="42"/>
        <v>98.842520668912471</v>
      </c>
      <c r="J119" s="306">
        <f t="shared" ca="1" si="43"/>
        <v>14.60746863435471</v>
      </c>
      <c r="K119" s="307">
        <f t="shared" ca="1" si="44"/>
        <v>75.533655464063116</v>
      </c>
      <c r="L119" s="304">
        <f t="shared" ca="1" si="29"/>
        <v>76.933160910412681</v>
      </c>
      <c r="M119" s="306">
        <f t="shared" ca="1" si="45"/>
        <v>1.3713602201292219</v>
      </c>
      <c r="N119" s="304">
        <f t="shared" ca="1" si="46"/>
        <v>78.573152805535941</v>
      </c>
      <c r="P119" s="310">
        <f t="shared" ca="1" si="47"/>
        <v>22</v>
      </c>
      <c r="Q119" s="304">
        <f t="shared" ca="1" si="48"/>
        <v>0</v>
      </c>
      <c r="R119" s="306">
        <f t="shared" ca="1" si="49"/>
        <v>0</v>
      </c>
      <c r="S119" s="307">
        <f t="shared" ca="1" si="50"/>
        <v>0.4270000000000001</v>
      </c>
      <c r="T119" s="304">
        <f t="shared" ca="1" si="30"/>
        <v>4.1888700000000014</v>
      </c>
      <c r="U119" s="311">
        <f t="shared" ca="1" si="31"/>
        <v>0</v>
      </c>
      <c r="V119" s="306">
        <f t="shared" ca="1" si="32"/>
        <v>1.2157819408906929</v>
      </c>
      <c r="W119" s="304">
        <f t="shared" ca="1" si="33"/>
        <v>12.564444841697673</v>
      </c>
      <c r="Y119" s="314" t="str">
        <f t="shared" ca="1" si="51"/>
        <v/>
      </c>
      <c r="Z119" s="315" t="str">
        <f t="shared" ca="1" si="52"/>
        <v/>
      </c>
      <c r="AA119" s="316" t="str">
        <f t="shared" ca="1" si="53"/>
        <v/>
      </c>
      <c r="AC119" s="310" t="e">
        <f t="shared" ca="1" si="54"/>
        <v>#N/A</v>
      </c>
      <c r="AD119" s="323" t="e">
        <f t="shared" ca="1" si="55"/>
        <v>#N/A</v>
      </c>
      <c r="AE119" s="324">
        <f t="shared" ca="1" si="34"/>
        <v>75.533655464063116</v>
      </c>
      <c r="AG119" s="306">
        <f t="shared" ca="1" si="56"/>
        <v>-39.278062205534823</v>
      </c>
      <c r="AH119" s="304">
        <f t="shared" ca="1" si="57"/>
        <v>-29.662130012746236</v>
      </c>
    </row>
    <row r="120" spans="1:34" x14ac:dyDescent="0.3">
      <c r="A120" s="347">
        <f t="shared" ca="1" si="35"/>
        <v>0.01</v>
      </c>
      <c r="B120" s="304">
        <f t="shared" ca="1" si="36"/>
        <v>1.1600000000000008</v>
      </c>
      <c r="D120" s="306">
        <f t="shared" ca="1" si="37"/>
        <v>-5.8295683226056259</v>
      </c>
      <c r="E120" s="307">
        <f t="shared" ca="1" si="38"/>
        <v>-38.651681672522045</v>
      </c>
      <c r="F120" s="304">
        <f t="shared" ca="1" si="39"/>
        <v>39.088826574123502</v>
      </c>
      <c r="G120" s="306">
        <f t="shared" ca="1" si="40"/>
        <v>19.524053016410949</v>
      </c>
      <c r="H120" s="307">
        <f t="shared" ca="1" si="41"/>
        <v>96.496791919043162</v>
      </c>
      <c r="I120" s="304">
        <f t="shared" ca="1" si="42"/>
        <v>98.452117787555693</v>
      </c>
      <c r="J120" s="306">
        <f t="shared" ca="1" si="43"/>
        <v>14.803000642934951</v>
      </c>
      <c r="K120" s="307">
        <f t="shared" ca="1" si="44"/>
        <v>76.500555967337178</v>
      </c>
      <c r="L120" s="304">
        <f t="shared" ca="1" si="29"/>
        <v>77.919598891077598</v>
      </c>
      <c r="M120" s="306">
        <f t="shared" ca="1" si="45"/>
        <v>1.3711628120535202</v>
      </c>
      <c r="N120" s="304">
        <f t="shared" ca="1" si="46"/>
        <v>78.561842155956427</v>
      </c>
      <c r="P120" s="310">
        <f t="shared" ca="1" si="47"/>
        <v>22</v>
      </c>
      <c r="Q120" s="304">
        <f t="shared" ca="1" si="48"/>
        <v>0</v>
      </c>
      <c r="R120" s="306">
        <f t="shared" ca="1" si="49"/>
        <v>0</v>
      </c>
      <c r="S120" s="307">
        <f t="shared" ca="1" si="50"/>
        <v>0.4270000000000001</v>
      </c>
      <c r="T120" s="304">
        <f t="shared" ca="1" si="30"/>
        <v>4.1888700000000014</v>
      </c>
      <c r="U120" s="311">
        <f t="shared" ca="1" si="31"/>
        <v>0</v>
      </c>
      <c r="V120" s="306">
        <f t="shared" ca="1" si="32"/>
        <v>1.2156643908584823</v>
      </c>
      <c r="W120" s="304">
        <f t="shared" ca="1" si="33"/>
        <v>12.464182875800455</v>
      </c>
      <c r="Y120" s="314" t="str">
        <f t="shared" ca="1" si="51"/>
        <v/>
      </c>
      <c r="Z120" s="315" t="str">
        <f t="shared" ca="1" si="52"/>
        <v/>
      </c>
      <c r="AA120" s="316" t="str">
        <f t="shared" ca="1" si="53"/>
        <v/>
      </c>
      <c r="AC120" s="310" t="e">
        <f t="shared" ca="1" si="54"/>
        <v>#N/A</v>
      </c>
      <c r="AD120" s="323" t="e">
        <f t="shared" ca="1" si="55"/>
        <v>#N/A</v>
      </c>
      <c r="AE120" s="324">
        <f t="shared" ca="1" si="34"/>
        <v>76.500555967337178</v>
      </c>
      <c r="AG120" s="306">
        <f t="shared" ca="1" si="56"/>
        <v>-39.040479969375028</v>
      </c>
      <c r="AH120" s="304">
        <f t="shared" ca="1" si="57"/>
        <v>-29.424929371657306</v>
      </c>
    </row>
    <row r="121" spans="1:34" x14ac:dyDescent="0.3">
      <c r="A121" s="347">
        <f t="shared" ca="1" si="35"/>
        <v>0.01</v>
      </c>
      <c r="B121" s="304">
        <f t="shared" ca="1" si="36"/>
        <v>1.1700000000000008</v>
      </c>
      <c r="D121" s="306">
        <f t="shared" ca="1" si="37"/>
        <v>-5.7886974707862509</v>
      </c>
      <c r="E121" s="307">
        <f t="shared" ca="1" si="38"/>
        <v>-38.420388163319807</v>
      </c>
      <c r="F121" s="304">
        <f t="shared" ca="1" si="39"/>
        <v>38.854024824057184</v>
      </c>
      <c r="G121" s="306">
        <f t="shared" ca="1" si="40"/>
        <v>19.466166041703087</v>
      </c>
      <c r="H121" s="307">
        <f t="shared" ca="1" si="41"/>
        <v>96.112588037409964</v>
      </c>
      <c r="I121" s="304">
        <f t="shared" ca="1" si="42"/>
        <v>98.064066811508667</v>
      </c>
      <c r="J121" s="306">
        <f t="shared" ca="1" si="43"/>
        <v>14.99795173822552</v>
      </c>
      <c r="K121" s="307">
        <f t="shared" ca="1" si="44"/>
        <v>77.463602867119448</v>
      </c>
      <c r="L121" s="304">
        <f t="shared" ca="1" si="29"/>
        <v>78.902143985426264</v>
      </c>
      <c r="M121" s="306">
        <f t="shared" ca="1" si="45"/>
        <v>1.3709644292487917</v>
      </c>
      <c r="N121" s="304">
        <f t="shared" ca="1" si="46"/>
        <v>78.550475658517513</v>
      </c>
      <c r="P121" s="310">
        <f t="shared" ca="1" si="47"/>
        <v>22</v>
      </c>
      <c r="Q121" s="304">
        <f t="shared" ca="1" si="48"/>
        <v>0</v>
      </c>
      <c r="R121" s="306">
        <f t="shared" ca="1" si="49"/>
        <v>0</v>
      </c>
      <c r="S121" s="307">
        <f t="shared" ca="1" si="50"/>
        <v>0.4270000000000001</v>
      </c>
      <c r="T121" s="304">
        <f t="shared" ca="1" si="30"/>
        <v>4.1888700000000014</v>
      </c>
      <c r="U121" s="311">
        <f t="shared" ca="1" si="31"/>
        <v>0</v>
      </c>
      <c r="V121" s="306">
        <f t="shared" ca="1" si="32"/>
        <v>1.2155473205790128</v>
      </c>
      <c r="W121" s="304">
        <f t="shared" ca="1" si="33"/>
        <v>12.364929990044068</v>
      </c>
      <c r="Y121" s="314" t="str">
        <f t="shared" ca="1" si="51"/>
        <v/>
      </c>
      <c r="Z121" s="315" t="str">
        <f t="shared" ca="1" si="52"/>
        <v/>
      </c>
      <c r="AA121" s="316" t="str">
        <f t="shared" ca="1" si="53"/>
        <v/>
      </c>
      <c r="AC121" s="310" t="e">
        <f t="shared" ca="1" si="54"/>
        <v>#N/A</v>
      </c>
      <c r="AD121" s="323" t="e">
        <f t="shared" ca="1" si="55"/>
        <v>#N/A</v>
      </c>
      <c r="AE121" s="324">
        <f t="shared" ca="1" si="34"/>
        <v>77.463602867119448</v>
      </c>
      <c r="AG121" s="306">
        <f t="shared" ca="1" si="56"/>
        <v>-38.805290573883831</v>
      </c>
      <c r="AH121" s="304">
        <f t="shared" ca="1" si="57"/>
        <v>-29.190123830914409</v>
      </c>
    </row>
    <row r="122" spans="1:34" x14ac:dyDescent="0.3">
      <c r="A122" s="347">
        <f t="shared" ca="1" si="35"/>
        <v>0.01</v>
      </c>
      <c r="B122" s="304">
        <f t="shared" ca="1" si="36"/>
        <v>1.1800000000000008</v>
      </c>
      <c r="D122" s="306">
        <f t="shared" ca="1" si="37"/>
        <v>-5.7482322945934765</v>
      </c>
      <c r="E122" s="307">
        <f t="shared" ca="1" si="38"/>
        <v>-38.191422478879794</v>
      </c>
      <c r="F122" s="304">
        <f t="shared" ca="1" si="39"/>
        <v>38.621586263032903</v>
      </c>
      <c r="G122" s="306">
        <f t="shared" ca="1" si="40"/>
        <v>19.408683718757153</v>
      </c>
      <c r="H122" s="307">
        <f t="shared" ca="1" si="41"/>
        <v>95.730673812621163</v>
      </c>
      <c r="I122" s="304">
        <f t="shared" ca="1" si="42"/>
        <v>97.678344131712336</v>
      </c>
      <c r="J122" s="306">
        <f t="shared" ca="1" si="43"/>
        <v>15.192325987027822</v>
      </c>
      <c r="K122" s="307">
        <f t="shared" ca="1" si="44"/>
        <v>78.4228191763696</v>
      </c>
      <c r="L122" s="304">
        <f t="shared" ca="1" si="29"/>
        <v>79.880819578079468</v>
      </c>
      <c r="M122" s="306">
        <f t="shared" ca="1" si="45"/>
        <v>1.3707650677706036</v>
      </c>
      <c r="N122" s="304">
        <f t="shared" ca="1" si="46"/>
        <v>78.539053087219855</v>
      </c>
      <c r="P122" s="310">
        <f t="shared" ca="1" si="47"/>
        <v>22</v>
      </c>
      <c r="Q122" s="304">
        <f t="shared" ca="1" si="48"/>
        <v>0</v>
      </c>
      <c r="R122" s="306">
        <f t="shared" ca="1" si="49"/>
        <v>0</v>
      </c>
      <c r="S122" s="307">
        <f t="shared" ca="1" si="50"/>
        <v>0.4270000000000001</v>
      </c>
      <c r="T122" s="304">
        <f t="shared" ca="1" si="30"/>
        <v>4.1888700000000014</v>
      </c>
      <c r="U122" s="311">
        <f t="shared" ca="1" si="31"/>
        <v>0</v>
      </c>
      <c r="V122" s="306">
        <f t="shared" ca="1" si="32"/>
        <v>1.2154307271187359</v>
      </c>
      <c r="W122" s="304">
        <f t="shared" ca="1" si="33"/>
        <v>12.266672784068538</v>
      </c>
      <c r="Y122" s="314" t="str">
        <f t="shared" ca="1" si="51"/>
        <v/>
      </c>
      <c r="Z122" s="315" t="str">
        <f t="shared" ca="1" si="52"/>
        <v/>
      </c>
      <c r="AA122" s="316" t="str">
        <f t="shared" ca="1" si="53"/>
        <v/>
      </c>
      <c r="AC122" s="310" t="e">
        <f t="shared" ca="1" si="54"/>
        <v>#N/A</v>
      </c>
      <c r="AD122" s="323" t="e">
        <f t="shared" ca="1" si="55"/>
        <v>#N/A</v>
      </c>
      <c r="AE122" s="324">
        <f t="shared" ca="1" si="34"/>
        <v>78.4228191763696</v>
      </c>
      <c r="AG122" s="306">
        <f t="shared" ca="1" si="56"/>
        <v>-38.572462090917192</v>
      </c>
      <c r="AH122" s="304">
        <f t="shared" ca="1" si="57"/>
        <v>-28.957681475513034</v>
      </c>
    </row>
    <row r="123" spans="1:34" x14ac:dyDescent="0.3">
      <c r="A123" s="347">
        <f t="shared" ca="1" si="35"/>
        <v>0.01</v>
      </c>
      <c r="B123" s="304">
        <f t="shared" ca="1" si="36"/>
        <v>1.1900000000000008</v>
      </c>
      <c r="D123" s="306">
        <f t="shared" ca="1" si="37"/>
        <v>-5.7081673835343798</v>
      </c>
      <c r="E123" s="307">
        <f t="shared" ca="1" si="38"/>
        <v>-37.964753706088246</v>
      </c>
      <c r="F123" s="304">
        <f t="shared" ca="1" si="39"/>
        <v>38.391479508380336</v>
      </c>
      <c r="G123" s="306">
        <f t="shared" ca="1" si="40"/>
        <v>19.351602044921808</v>
      </c>
      <c r="H123" s="307">
        <f t="shared" ca="1" si="41"/>
        <v>95.351026275560287</v>
      </c>
      <c r="I123" s="304">
        <f t="shared" ca="1" si="42"/>
        <v>97.294926453066452</v>
      </c>
      <c r="J123" s="306">
        <f t="shared" ca="1" si="43"/>
        <v>15.386127415846216</v>
      </c>
      <c r="K123" s="307">
        <f t="shared" ca="1" si="44"/>
        <v>79.378227676810511</v>
      </c>
      <c r="L123" s="304">
        <f t="shared" ca="1" si="29"/>
        <v>80.855648819165509</v>
      </c>
      <c r="M123" s="306">
        <f t="shared" ca="1" si="45"/>
        <v>1.3705647236461287</v>
      </c>
      <c r="N123" s="304">
        <f t="shared" ca="1" si="46"/>
        <v>78.527574214437195</v>
      </c>
      <c r="P123" s="310">
        <f t="shared" ca="1" si="47"/>
        <v>22</v>
      </c>
      <c r="Q123" s="304">
        <f t="shared" ca="1" si="48"/>
        <v>0</v>
      </c>
      <c r="R123" s="306">
        <f t="shared" ca="1" si="49"/>
        <v>0</v>
      </c>
      <c r="S123" s="307">
        <f t="shared" ca="1" si="50"/>
        <v>0.4270000000000001</v>
      </c>
      <c r="T123" s="304">
        <f t="shared" ca="1" si="30"/>
        <v>4.1888700000000014</v>
      </c>
      <c r="U123" s="311">
        <f t="shared" ca="1" si="31"/>
        <v>0</v>
      </c>
      <c r="V123" s="306">
        <f t="shared" ca="1" si="32"/>
        <v>1.2153146075738479</v>
      </c>
      <c r="W123" s="304">
        <f t="shared" ca="1" si="33"/>
        <v>12.16939808031969</v>
      </c>
      <c r="Y123" s="314" t="str">
        <f t="shared" ca="1" si="51"/>
        <v/>
      </c>
      <c r="Z123" s="315" t="str">
        <f t="shared" ca="1" si="52"/>
        <v/>
      </c>
      <c r="AA123" s="316" t="str">
        <f t="shared" ca="1" si="53"/>
        <v/>
      </c>
      <c r="AC123" s="310" t="e">
        <f t="shared" ca="1" si="54"/>
        <v>#N/A</v>
      </c>
      <c r="AD123" s="323" t="e">
        <f t="shared" ca="1" si="55"/>
        <v>#N/A</v>
      </c>
      <c r="AE123" s="324">
        <f t="shared" ca="1" si="34"/>
        <v>79.378227676810511</v>
      </c>
      <c r="AG123" s="306">
        <f t="shared" ca="1" si="56"/>
        <v>-38.341963124647869</v>
      </c>
      <c r="AH123" s="304">
        <f t="shared" ca="1" si="57"/>
        <v>-28.727570922877131</v>
      </c>
    </row>
    <row r="124" spans="1:34" x14ac:dyDescent="0.3">
      <c r="A124" s="347">
        <f t="shared" ca="1" si="35"/>
        <v>0.01</v>
      </c>
      <c r="B124" s="304">
        <f t="shared" ca="1" si="36"/>
        <v>1.2000000000000008</v>
      </c>
      <c r="D124" s="306">
        <f t="shared" ca="1" si="37"/>
        <v>-5.6684974170309035</v>
      </c>
      <c r="E124" s="307">
        <f t="shared" ca="1" si="38"/>
        <v>-37.740351445817133</v>
      </c>
      <c r="F124" s="304">
        <f t="shared" ca="1" si="39"/>
        <v>38.163673699221846</v>
      </c>
      <c r="G124" s="306">
        <f t="shared" ca="1" si="40"/>
        <v>19.294917070751499</v>
      </c>
      <c r="H124" s="307">
        <f t="shared" ca="1" si="41"/>
        <v>94.973622761102121</v>
      </c>
      <c r="I124" s="304">
        <f t="shared" ca="1" si="42"/>
        <v>96.913790789212825</v>
      </c>
      <c r="J124" s="306">
        <f t="shared" ca="1" si="43"/>
        <v>15.579360011424583</v>
      </c>
      <c r="K124" s="307">
        <f t="shared" ca="1" si="44"/>
        <v>80.329850921993824</v>
      </c>
      <c r="L124" s="304">
        <f t="shared" ca="1" si="29"/>
        <v>81.826654627421547</v>
      </c>
      <c r="M124" s="306">
        <f t="shared" ca="1" si="45"/>
        <v>1.3703633928739321</v>
      </c>
      <c r="N124" s="304">
        <f t="shared" ca="1" si="46"/>
        <v>78.51603881090422</v>
      </c>
      <c r="P124" s="310">
        <f t="shared" ca="1" si="47"/>
        <v>22</v>
      </c>
      <c r="Q124" s="304">
        <f t="shared" ca="1" si="48"/>
        <v>0</v>
      </c>
      <c r="R124" s="306">
        <f t="shared" ca="1" si="49"/>
        <v>0</v>
      </c>
      <c r="S124" s="307">
        <f t="shared" ca="1" si="50"/>
        <v>0.4270000000000001</v>
      </c>
      <c r="T124" s="304">
        <f t="shared" ca="1" si="30"/>
        <v>4.1888700000000014</v>
      </c>
      <c r="U124" s="311">
        <f t="shared" ca="1" si="31"/>
        <v>0</v>
      </c>
      <c r="V124" s="306">
        <f t="shared" ca="1" si="32"/>
        <v>1.2151989590698957</v>
      </c>
      <c r="W124" s="304">
        <f t="shared" ca="1" si="33"/>
        <v>12.073092919613671</v>
      </c>
      <c r="Y124" s="314" t="str">
        <f t="shared" ca="1" si="51"/>
        <v/>
      </c>
      <c r="Z124" s="315" t="str">
        <f t="shared" ca="1" si="52"/>
        <v/>
      </c>
      <c r="AA124" s="316" t="str">
        <f t="shared" ca="1" si="53"/>
        <v/>
      </c>
      <c r="AC124" s="310" t="e">
        <f t="shared" ca="1" si="54"/>
        <v>#N/A</v>
      </c>
      <c r="AD124" s="323" t="e">
        <f t="shared" ca="1" si="55"/>
        <v>#N/A</v>
      </c>
      <c r="AE124" s="324">
        <f t="shared" ca="1" si="34"/>
        <v>80.329850921993824</v>
      </c>
      <c r="AG124" s="306">
        <f t="shared" ca="1" si="56"/>
        <v>-38.113762800929322</v>
      </c>
      <c r="AH124" s="304">
        <f t="shared" ca="1" si="57"/>
        <v>-28.499761312224091</v>
      </c>
    </row>
    <row r="125" spans="1:34" x14ac:dyDescent="0.3">
      <c r="A125" s="347">
        <f t="shared" ca="1" si="35"/>
        <v>0.01</v>
      </c>
      <c r="B125" s="304">
        <f t="shared" ca="1" si="36"/>
        <v>1.2100000000000009</v>
      </c>
      <c r="D125" s="306">
        <f t="shared" ca="1" si="37"/>
        <v>-5.6292171626297165</v>
      </c>
      <c r="E125" s="307">
        <f t="shared" ca="1" si="38"/>
        <v>-37.518185802692003</v>
      </c>
      <c r="F125" s="304">
        <f t="shared" ca="1" si="39"/>
        <v>37.938138486085016</v>
      </c>
      <c r="G125" s="306">
        <f t="shared" ca="1" si="40"/>
        <v>19.238624899125202</v>
      </c>
      <c r="H125" s="307">
        <f t="shared" ca="1" si="41"/>
        <v>94.5984409030752</v>
      </c>
      <c r="I125" s="304">
        <f t="shared" ca="1" si="42"/>
        <v>96.53491445742236</v>
      </c>
      <c r="J125" s="306">
        <f t="shared" ca="1" si="43"/>
        <v>15.772027721273966</v>
      </c>
      <c r="K125" s="307">
        <f t="shared" ca="1" si="44"/>
        <v>81.277711240314716</v>
      </c>
      <c r="L125" s="304">
        <f t="shared" ca="1" si="29"/>
        <v>82.793859693244258</v>
      </c>
      <c r="M125" s="306">
        <f t="shared" ca="1" si="45"/>
        <v>1.3701610714237589</v>
      </c>
      <c r="N125" s="304">
        <f t="shared" ca="1" si="46"/>
        <v>78.504446645704334</v>
      </c>
      <c r="P125" s="310">
        <f t="shared" ca="1" si="47"/>
        <v>22</v>
      </c>
      <c r="Q125" s="304">
        <f t="shared" ca="1" si="48"/>
        <v>0</v>
      </c>
      <c r="R125" s="306">
        <f t="shared" ca="1" si="49"/>
        <v>0</v>
      </c>
      <c r="S125" s="307">
        <f t="shared" ca="1" si="50"/>
        <v>0.4270000000000001</v>
      </c>
      <c r="T125" s="304">
        <f t="shared" ca="1" si="30"/>
        <v>4.1888700000000014</v>
      </c>
      <c r="U125" s="311">
        <f t="shared" ca="1" si="31"/>
        <v>0</v>
      </c>
      <c r="V125" s="306">
        <f t="shared" ca="1" si="32"/>
        <v>1.2150837787613828</v>
      </c>
      <c r="W125" s="304">
        <f t="shared" ca="1" si="33"/>
        <v>11.977744556804209</v>
      </c>
      <c r="Y125" s="314" t="str">
        <f t="shared" ca="1" si="51"/>
        <v/>
      </c>
      <c r="Z125" s="315" t="str">
        <f t="shared" ca="1" si="52"/>
        <v/>
      </c>
      <c r="AA125" s="316" t="str">
        <f t="shared" ca="1" si="53"/>
        <v/>
      </c>
      <c r="AC125" s="310" t="e">
        <f t="shared" ca="1" si="54"/>
        <v>#N/A</v>
      </c>
      <c r="AD125" s="323" t="e">
        <f t="shared" ca="1" si="55"/>
        <v>#N/A</v>
      </c>
      <c r="AE125" s="324">
        <f t="shared" ca="1" si="34"/>
        <v>81.277711240314716</v>
      </c>
      <c r="AG125" s="306">
        <f t="shared" ca="1" si="56"/>
        <v>-37.887830756907114</v>
      </c>
      <c r="AH125" s="304">
        <f t="shared" ca="1" si="57"/>
        <v>-28.274222294177211</v>
      </c>
    </row>
    <row r="126" spans="1:34" x14ac:dyDescent="0.3">
      <c r="A126" s="347">
        <f t="shared" ca="1" si="35"/>
        <v>0.01</v>
      </c>
      <c r="B126" s="304">
        <f t="shared" ca="1" si="36"/>
        <v>1.2200000000000009</v>
      </c>
      <c r="D126" s="306">
        <f t="shared" ca="1" si="37"/>
        <v>-5.5903214742534173</v>
      </c>
      <c r="E126" s="307">
        <f t="shared" ca="1" si="38"/>
        <v>-37.298227375096907</v>
      </c>
      <c r="F126" s="304">
        <f t="shared" ca="1" si="39"/>
        <v>37.714844020755635</v>
      </c>
      <c r="G126" s="306">
        <f t="shared" ca="1" si="40"/>
        <v>19.182721684382667</v>
      </c>
      <c r="H126" s="307">
        <f t="shared" ca="1" si="41"/>
        <v>94.225458629324237</v>
      </c>
      <c r="I126" s="304">
        <f t="shared" ca="1" si="42"/>
        <v>96.158275073583653</v>
      </c>
      <c r="J126" s="306">
        <f t="shared" ca="1" si="43"/>
        <v>15.964134454191505</v>
      </c>
      <c r="K126" s="307">
        <f t="shared" ca="1" si="44"/>
        <v>82.221830737976717</v>
      </c>
      <c r="L126" s="304">
        <f t="shared" ca="1" si="29"/>
        <v>83.757286481690642</v>
      </c>
      <c r="M126" s="306">
        <f t="shared" ca="1" si="45"/>
        <v>1.3699577552363162</v>
      </c>
      <c r="N126" s="304">
        <f t="shared" ca="1" si="46"/>
        <v>78.492797486257174</v>
      </c>
      <c r="P126" s="310">
        <f t="shared" ca="1" si="47"/>
        <v>22</v>
      </c>
      <c r="Q126" s="304">
        <f t="shared" ca="1" si="48"/>
        <v>0</v>
      </c>
      <c r="R126" s="306">
        <f t="shared" ca="1" si="49"/>
        <v>0</v>
      </c>
      <c r="S126" s="307">
        <f t="shared" ca="1" si="50"/>
        <v>0.4270000000000001</v>
      </c>
      <c r="T126" s="304">
        <f t="shared" ca="1" si="30"/>
        <v>4.1888700000000014</v>
      </c>
      <c r="U126" s="311">
        <f t="shared" ca="1" si="31"/>
        <v>0</v>
      </c>
      <c r="V126" s="306">
        <f t="shared" ca="1" si="32"/>
        <v>1.2149690638313879</v>
      </c>
      <c r="W126" s="304">
        <f t="shared" ca="1" si="33"/>
        <v>11.88334045655002</v>
      </c>
      <c r="Y126" s="314" t="str">
        <f t="shared" ca="1" si="51"/>
        <v/>
      </c>
      <c r="Z126" s="315" t="str">
        <f t="shared" ca="1" si="52"/>
        <v/>
      </c>
      <c r="AA126" s="316" t="str">
        <f t="shared" ca="1" si="53"/>
        <v/>
      </c>
      <c r="AC126" s="310" t="e">
        <f t="shared" ca="1" si="54"/>
        <v>#N/A</v>
      </c>
      <c r="AD126" s="323" t="e">
        <f t="shared" ca="1" si="55"/>
        <v>#N/A</v>
      </c>
      <c r="AE126" s="324">
        <f t="shared" ca="1" si="34"/>
        <v>82.221830737976717</v>
      </c>
      <c r="AG126" s="306">
        <f t="shared" ca="1" si="56"/>
        <v>-37.664137130870955</v>
      </c>
      <c r="AH126" s="304">
        <f t="shared" ca="1" si="57"/>
        <v>-28.050924020618751</v>
      </c>
    </row>
    <row r="127" spans="1:34" x14ac:dyDescent="0.3">
      <c r="A127" s="347">
        <f t="shared" ca="1" si="35"/>
        <v>0.01</v>
      </c>
      <c r="B127" s="304">
        <f t="shared" ca="1" si="36"/>
        <v>1.2300000000000009</v>
      </c>
      <c r="D127" s="306">
        <f t="shared" ca="1" si="37"/>
        <v>-5.5518052904923003</v>
      </c>
      <c r="E127" s="307">
        <f t="shared" ca="1" si="38"/>
        <v>-37.080447245410291</v>
      </c>
      <c r="F127" s="304">
        <f t="shared" ca="1" si="39"/>
        <v>37.493760946365384</v>
      </c>
      <c r="G127" s="306">
        <f t="shared" ca="1" si="40"/>
        <v>19.127203631477744</v>
      </c>
      <c r="H127" s="307">
        <f t="shared" ca="1" si="41"/>
        <v>93.85465415687014</v>
      </c>
      <c r="I127" s="304">
        <f t="shared" ca="1" si="42"/>
        <v>95.783850547290683</v>
      </c>
      <c r="J127" s="306">
        <f t="shared" ca="1" si="43"/>
        <v>16.155684080770808</v>
      </c>
      <c r="K127" s="307">
        <f t="shared" ca="1" si="44"/>
        <v>83.162231301907696</v>
      </c>
      <c r="L127" s="304">
        <f t="shared" ca="1" si="29"/>
        <v>84.716957235429959</v>
      </c>
      <c r="M127" s="306">
        <f t="shared" ca="1" si="45"/>
        <v>1.3697534402230567</v>
      </c>
      <c r="N127" s="304">
        <f t="shared" ca="1" si="46"/>
        <v>78.481091098306237</v>
      </c>
      <c r="P127" s="310">
        <f t="shared" ca="1" si="47"/>
        <v>22</v>
      </c>
      <c r="Q127" s="304">
        <f t="shared" ca="1" si="48"/>
        <v>0</v>
      </c>
      <c r="R127" s="306">
        <f t="shared" ca="1" si="49"/>
        <v>0</v>
      </c>
      <c r="S127" s="307">
        <f t="shared" ca="1" si="50"/>
        <v>0.4270000000000001</v>
      </c>
      <c r="T127" s="304">
        <f t="shared" ca="1" si="30"/>
        <v>4.1888700000000014</v>
      </c>
      <c r="U127" s="311">
        <f t="shared" ca="1" si="31"/>
        <v>0</v>
      </c>
      <c r="V127" s="306">
        <f t="shared" ca="1" si="32"/>
        <v>1.214854811491185</v>
      </c>
      <c r="W127" s="304">
        <f t="shared" ca="1" si="33"/>
        <v>11.789868289179607</v>
      </c>
      <c r="Y127" s="314" t="str">
        <f t="shared" ca="1" si="51"/>
        <v/>
      </c>
      <c r="Z127" s="315" t="str">
        <f t="shared" ca="1" si="52"/>
        <v/>
      </c>
      <c r="AA127" s="316" t="str">
        <f t="shared" ca="1" si="53"/>
        <v/>
      </c>
      <c r="AC127" s="310" t="e">
        <f t="shared" ca="1" si="54"/>
        <v>#N/A</v>
      </c>
      <c r="AD127" s="323" t="e">
        <f t="shared" ca="1" si="55"/>
        <v>#N/A</v>
      </c>
      <c r="AE127" s="324">
        <f t="shared" ca="1" si="34"/>
        <v>83.162231301907696</v>
      </c>
      <c r="AG127" s="306">
        <f t="shared" ca="1" si="56"/>
        <v>-37.442652552341201</v>
      </c>
      <c r="AH127" s="304">
        <f t="shared" ca="1" si="57"/>
        <v>-27.829837134777556</v>
      </c>
    </row>
    <row r="128" spans="1:34" x14ac:dyDescent="0.3">
      <c r="A128" s="347">
        <f t="shared" ca="1" si="35"/>
        <v>0.01</v>
      </c>
      <c r="B128" s="304">
        <f t="shared" ca="1" si="36"/>
        <v>1.2400000000000009</v>
      </c>
      <c r="D128" s="306">
        <f t="shared" ca="1" si="37"/>
        <v>-5.5136636329352955</v>
      </c>
      <c r="E128" s="307">
        <f t="shared" ca="1" si="38"/>
        <v>-36.864816970465561</v>
      </c>
      <c r="F128" s="304">
        <f t="shared" ca="1" si="39"/>
        <v>37.274860387707413</v>
      </c>
      <c r="G128" s="306">
        <f t="shared" ca="1" si="40"/>
        <v>19.07206699514839</v>
      </c>
      <c r="H128" s="307">
        <f t="shared" ca="1" si="41"/>
        <v>93.486005987165484</v>
      </c>
      <c r="I128" s="304">
        <f t="shared" ca="1" si="42"/>
        <v>95.411619077027353</v>
      </c>
      <c r="J128" s="306">
        <f t="shared" ca="1" si="43"/>
        <v>16.346680433903938</v>
      </c>
      <c r="K128" s="307">
        <f t="shared" ca="1" si="44"/>
        <v>84.098934602627878</v>
      </c>
      <c r="L128" s="304">
        <f t="shared" ca="1" si="29"/>
        <v>85.672893977647661</v>
      </c>
      <c r="M128" s="306">
        <f t="shared" ca="1" si="45"/>
        <v>1.3695481222659556</v>
      </c>
      <c r="N128" s="304">
        <f t="shared" ca="1" si="46"/>
        <v>78.469327245906101</v>
      </c>
      <c r="P128" s="310">
        <f t="shared" ca="1" si="47"/>
        <v>22</v>
      </c>
      <c r="Q128" s="304">
        <f t="shared" ca="1" si="48"/>
        <v>0</v>
      </c>
      <c r="R128" s="306">
        <f t="shared" ca="1" si="49"/>
        <v>0</v>
      </c>
      <c r="S128" s="307">
        <f t="shared" ca="1" si="50"/>
        <v>0.4270000000000001</v>
      </c>
      <c r="T128" s="304">
        <f t="shared" ca="1" si="30"/>
        <v>4.1888700000000014</v>
      </c>
      <c r="U128" s="311">
        <f t="shared" ca="1" si="31"/>
        <v>0</v>
      </c>
      <c r="V128" s="306">
        <f t="shared" ca="1" si="32"/>
        <v>1.2147410189798731</v>
      </c>
      <c r="W128" s="304">
        <f t="shared" ca="1" si="33"/>
        <v>11.697315926651012</v>
      </c>
      <c r="Y128" s="314" t="str">
        <f t="shared" ca="1" si="51"/>
        <v/>
      </c>
      <c r="Z128" s="315" t="str">
        <f t="shared" ca="1" si="52"/>
        <v/>
      </c>
      <c r="AA128" s="316" t="str">
        <f t="shared" ca="1" si="53"/>
        <v/>
      </c>
      <c r="AC128" s="310" t="e">
        <f t="shared" ca="1" si="54"/>
        <v>#N/A</v>
      </c>
      <c r="AD128" s="323" t="e">
        <f t="shared" ca="1" si="55"/>
        <v>#N/A</v>
      </c>
      <c r="AE128" s="324">
        <f t="shared" ca="1" si="34"/>
        <v>84.098934602627878</v>
      </c>
      <c r="AG128" s="306">
        <f t="shared" ca="1" si="56"/>
        <v>-37.223348132383464</v>
      </c>
      <c r="AH128" s="304">
        <f t="shared" ca="1" si="57"/>
        <v>-27.610932761544738</v>
      </c>
    </row>
    <row r="129" spans="1:34" x14ac:dyDescent="0.3">
      <c r="A129" s="347">
        <f t="shared" ca="1" si="35"/>
        <v>0.01</v>
      </c>
      <c r="B129" s="304">
        <f t="shared" ca="1" si="36"/>
        <v>1.2500000000000009</v>
      </c>
      <c r="D129" s="306">
        <f t="shared" ca="1" si="37"/>
        <v>-5.4758916045393562</v>
      </c>
      <c r="E129" s="307">
        <f t="shared" ca="1" si="38"/>
        <v>-36.651308572230747</v>
      </c>
      <c r="F129" s="304">
        <f t="shared" ca="1" si="39"/>
        <v>37.058113941774472</v>
      </c>
      <c r="G129" s="306">
        <f t="shared" ca="1" si="40"/>
        <v>19.017308079102996</v>
      </c>
      <c r="H129" s="307">
        <f t="shared" ca="1" si="41"/>
        <v>93.119492901443181</v>
      </c>
      <c r="I129" s="304">
        <f t="shared" ca="1" si="42"/>
        <v>95.041559145446712</v>
      </c>
      <c r="J129" s="306">
        <f t="shared" ca="1" si="43"/>
        <v>16.537127309275196</v>
      </c>
      <c r="K129" s="307">
        <f t="shared" ca="1" si="44"/>
        <v>85.031962097070917</v>
      </c>
      <c r="L129" s="304">
        <f t="shared" ca="1" si="29"/>
        <v>86.625118514902368</v>
      </c>
      <c r="M129" s="306">
        <f t="shared" ca="1" si="45"/>
        <v>1.3693417972172901</v>
      </c>
      <c r="N129" s="304">
        <f t="shared" ca="1" si="46"/>
        <v>78.457505691409736</v>
      </c>
      <c r="P129" s="310">
        <f t="shared" ca="1" si="47"/>
        <v>22</v>
      </c>
      <c r="Q129" s="304">
        <f t="shared" ca="1" si="48"/>
        <v>0</v>
      </c>
      <c r="R129" s="306">
        <f t="shared" ca="1" si="49"/>
        <v>0</v>
      </c>
      <c r="S129" s="307">
        <f t="shared" ca="1" si="50"/>
        <v>0.4270000000000001</v>
      </c>
      <c r="T129" s="304">
        <f t="shared" ca="1" si="30"/>
        <v>4.1888700000000014</v>
      </c>
      <c r="U129" s="311">
        <f t="shared" ca="1" si="31"/>
        <v>0</v>
      </c>
      <c r="V129" s="306">
        <f t="shared" ca="1" si="32"/>
        <v>1.2146276835640113</v>
      </c>
      <c r="W129" s="304">
        <f t="shared" ca="1" si="33"/>
        <v>11.605671438603942</v>
      </c>
      <c r="Y129" s="314" t="str">
        <f t="shared" ca="1" si="51"/>
        <v/>
      </c>
      <c r="Z129" s="315" t="str">
        <f t="shared" ca="1" si="52"/>
        <v/>
      </c>
      <c r="AA129" s="316" t="str">
        <f t="shared" ca="1" si="53"/>
        <v/>
      </c>
      <c r="AC129" s="310" t="e">
        <f t="shared" ca="1" si="54"/>
        <v>#N/A</v>
      </c>
      <c r="AD129" s="323" t="e">
        <f t="shared" ca="1" si="55"/>
        <v>#N/A</v>
      </c>
      <c r="AE129" s="324">
        <f t="shared" ca="1" si="34"/>
        <v>85.031962097070917</v>
      </c>
      <c r="AG129" s="306">
        <f t="shared" ca="1" si="56"/>
        <v>-37.006195454145569</v>
      </c>
      <c r="AH129" s="304">
        <f t="shared" ca="1" si="57"/>
        <v>-27.39418249801173</v>
      </c>
    </row>
    <row r="130" spans="1:34" x14ac:dyDescent="0.3">
      <c r="A130" s="347">
        <f t="shared" ca="1" si="35"/>
        <v>0.01</v>
      </c>
      <c r="B130" s="304">
        <f t="shared" ca="1" si="36"/>
        <v>1.2600000000000009</v>
      </c>
      <c r="D130" s="306">
        <f t="shared" ca="1" si="37"/>
        <v>-5.438484388036021</v>
      </c>
      <c r="E130" s="307">
        <f t="shared" ca="1" si="38"/>
        <v>-36.439894528701181</v>
      </c>
      <c r="F130" s="304">
        <f t="shared" ca="1" si="39"/>
        <v>36.843493668513275</v>
      </c>
      <c r="G130" s="306">
        <f t="shared" ca="1" si="40"/>
        <v>18.962923235222636</v>
      </c>
      <c r="H130" s="307">
        <f t="shared" ca="1" si="41"/>
        <v>92.755093956156173</v>
      </c>
      <c r="I130" s="304">
        <f t="shared" ca="1" si="42"/>
        <v>94.673649514742522</v>
      </c>
      <c r="J130" s="306">
        <f t="shared" ca="1" si="43"/>
        <v>16.727028465846825</v>
      </c>
      <c r="K130" s="307">
        <f t="shared" ca="1" si="44"/>
        <v>85.961335031358914</v>
      </c>
      <c r="L130" s="304">
        <f t="shared" ca="1" si="29"/>
        <v>87.573652439936424</v>
      </c>
      <c r="M130" s="306">
        <f t="shared" ca="1" si="45"/>
        <v>1.3691344608994138</v>
      </c>
      <c r="N130" s="304">
        <f t="shared" ca="1" si="46"/>
        <v>78.445626195455645</v>
      </c>
      <c r="P130" s="310">
        <f t="shared" ca="1" si="47"/>
        <v>22</v>
      </c>
      <c r="Q130" s="304">
        <f t="shared" ca="1" si="48"/>
        <v>0</v>
      </c>
      <c r="R130" s="306">
        <f t="shared" ca="1" si="49"/>
        <v>0</v>
      </c>
      <c r="S130" s="307">
        <f t="shared" ca="1" si="50"/>
        <v>0.4270000000000001</v>
      </c>
      <c r="T130" s="304">
        <f t="shared" ca="1" si="30"/>
        <v>4.1888700000000014</v>
      </c>
      <c r="U130" s="311">
        <f t="shared" ca="1" si="31"/>
        <v>0</v>
      </c>
      <c r="V130" s="306">
        <f t="shared" ca="1" si="32"/>
        <v>1.2145148025372567</v>
      </c>
      <c r="W130" s="304">
        <f t="shared" ca="1" si="33"/>
        <v>11.514923088501886</v>
      </c>
      <c r="Y130" s="314" t="str">
        <f t="shared" ca="1" si="51"/>
        <v/>
      </c>
      <c r="Z130" s="315" t="str">
        <f t="shared" ca="1" si="52"/>
        <v/>
      </c>
      <c r="AA130" s="316" t="str">
        <f t="shared" ca="1" si="53"/>
        <v/>
      </c>
      <c r="AC130" s="310" t="e">
        <f t="shared" ca="1" si="54"/>
        <v>#N/A</v>
      </c>
      <c r="AD130" s="323" t="e">
        <f t="shared" ca="1" si="55"/>
        <v>#N/A</v>
      </c>
      <c r="AE130" s="324">
        <f t="shared" ca="1" si="34"/>
        <v>85.961335031358914</v>
      </c>
      <c r="AG130" s="306">
        <f t="shared" ca="1" si="56"/>
        <v>-36.791166563610844</v>
      </c>
      <c r="AH130" s="304">
        <f t="shared" ca="1" si="57"/>
        <v>-27.179558404224682</v>
      </c>
    </row>
    <row r="131" spans="1:34" x14ac:dyDescent="0.3">
      <c r="A131" s="347">
        <f t="shared" ca="1" si="35"/>
        <v>0.01</v>
      </c>
      <c r="B131" s="304">
        <f t="shared" ca="1" si="36"/>
        <v>1.2700000000000009</v>
      </c>
      <c r="D131" s="306">
        <f t="shared" ca="1" si="37"/>
        <v>-5.401437244374363</v>
      </c>
      <c r="E131" s="307">
        <f t="shared" ca="1" si="38"/>
        <v>-36.230547764999862</v>
      </c>
      <c r="F131" s="304">
        <f t="shared" ca="1" si="39"/>
        <v>36.630972081789622</v>
      </c>
      <c r="G131" s="306">
        <f t="shared" ca="1" si="40"/>
        <v>18.908908862778894</v>
      </c>
      <c r="H131" s="307">
        <f t="shared" ca="1" si="41"/>
        <v>92.392788478506176</v>
      </c>
      <c r="I131" s="304">
        <f t="shared" ca="1" si="42"/>
        <v>94.307869222111378</v>
      </c>
      <c r="J131" s="306">
        <f t="shared" ca="1" si="43"/>
        <v>16.916387626336832</v>
      </c>
      <c r="K131" s="307">
        <f t="shared" ca="1" si="44"/>
        <v>86.887074443532228</v>
      </c>
      <c r="L131" s="304">
        <f t="shared" ca="1" si="29"/>
        <v>88.518517134441382</v>
      </c>
      <c r="M131" s="306">
        <f t="shared" ca="1" si="45"/>
        <v>1.3689261091045286</v>
      </c>
      <c r="N131" s="304">
        <f t="shared" ca="1" si="46"/>
        <v>78.433688516954746</v>
      </c>
      <c r="P131" s="310">
        <f t="shared" ca="1" si="47"/>
        <v>22</v>
      </c>
      <c r="Q131" s="304">
        <f t="shared" ca="1" si="48"/>
        <v>0</v>
      </c>
      <c r="R131" s="306">
        <f t="shared" ca="1" si="49"/>
        <v>0</v>
      </c>
      <c r="S131" s="307">
        <f t="shared" ca="1" si="50"/>
        <v>0.4270000000000001</v>
      </c>
      <c r="T131" s="304">
        <f t="shared" ca="1" si="30"/>
        <v>4.1888700000000014</v>
      </c>
      <c r="U131" s="311">
        <f t="shared" ca="1" si="31"/>
        <v>0</v>
      </c>
      <c r="V131" s="306">
        <f t="shared" ca="1" si="32"/>
        <v>1.2144023732200151</v>
      </c>
      <c r="W131" s="304">
        <f t="shared" ca="1" si="33"/>
        <v>11.425059329861959</v>
      </c>
      <c r="Y131" s="314" t="str">
        <f t="shared" ca="1" si="51"/>
        <v/>
      </c>
      <c r="Z131" s="315" t="str">
        <f t="shared" ca="1" si="52"/>
        <v/>
      </c>
      <c r="AA131" s="316" t="str">
        <f t="shared" ca="1" si="53"/>
        <v/>
      </c>
      <c r="AC131" s="310" t="e">
        <f t="shared" ca="1" si="54"/>
        <v>#N/A</v>
      </c>
      <c r="AD131" s="323" t="e">
        <f t="shared" ca="1" si="55"/>
        <v>#N/A</v>
      </c>
      <c r="AE131" s="324">
        <f t="shared" ca="1" si="34"/>
        <v>86.887074443532228</v>
      </c>
      <c r="AG131" s="306">
        <f t="shared" ca="1" si="56"/>
        <v>-36.578233960562116</v>
      </c>
      <c r="AH131" s="304">
        <f t="shared" ca="1" si="57"/>
        <v>-26.967032994149609</v>
      </c>
    </row>
    <row r="132" spans="1:34" x14ac:dyDescent="0.3">
      <c r="A132" s="347">
        <f t="shared" ca="1" si="35"/>
        <v>0.01</v>
      </c>
      <c r="B132" s="304">
        <f t="shared" ca="1" si="36"/>
        <v>1.2800000000000009</v>
      </c>
      <c r="D132" s="306">
        <f t="shared" ca="1" si="37"/>
        <v>-5.3647455111993487</v>
      </c>
      <c r="E132" s="307">
        <f t="shared" ca="1" si="38"/>
        <v>-36.023241644680127</v>
      </c>
      <c r="F132" s="304">
        <f t="shared" ca="1" si="39"/>
        <v>36.420522140559022</v>
      </c>
      <c r="G132" s="306">
        <f t="shared" ca="1" si="40"/>
        <v>18.855261407666902</v>
      </c>
      <c r="H132" s="307">
        <f t="shared" ca="1" si="41"/>
        <v>92.032556062059371</v>
      </c>
      <c r="I132" s="304">
        <f t="shared" ca="1" si="42"/>
        <v>93.944197575302937</v>
      </c>
      <c r="J132" s="306">
        <f t="shared" ca="1" si="43"/>
        <v>17.105208477689061</v>
      </c>
      <c r="K132" s="307">
        <f t="shared" ca="1" si="44"/>
        <v>87.809201166235056</v>
      </c>
      <c r="L132" s="304">
        <f t="shared" ref="L132:L195" ca="1" si="58">SQRT(pos_x^2+pos_z^2)</f>
        <v>89.459733771778801</v>
      </c>
      <c r="M132" s="306">
        <f t="shared" ca="1" si="45"/>
        <v>1.3687167375944564</v>
      </c>
      <c r="N132" s="304">
        <f t="shared" ca="1" si="46"/>
        <v>78.421692413077338</v>
      </c>
      <c r="P132" s="310">
        <f t="shared" ca="1" si="47"/>
        <v>22</v>
      </c>
      <c r="Q132" s="304">
        <f t="shared" ca="1" si="48"/>
        <v>0</v>
      </c>
      <c r="R132" s="306">
        <f t="shared" ca="1" si="49"/>
        <v>0</v>
      </c>
      <c r="S132" s="307">
        <f t="shared" ca="1" si="50"/>
        <v>0.4270000000000001</v>
      </c>
      <c r="T132" s="304">
        <f t="shared" ref="T132:T195" ca="1" si="59">m*g</f>
        <v>4.1888700000000014</v>
      </c>
      <c r="U132" s="311">
        <f t="shared" ref="U132:U195" ca="1" si="60">IF(pos_xz&lt;L_rampe,Poids*COS(Beta),0)</f>
        <v>0</v>
      </c>
      <c r="V132" s="306">
        <f t="shared" ref="V132:V195" ca="1" si="61">Rho_moyen*(20000-Alt_rampe-pos_z)/(20000+Alt_rampe+pos_z)</f>
        <v>1.2142903929590898</v>
      </c>
      <c r="W132" s="304">
        <f t="shared" ref="W132:W195" ca="1" si="62">1/2*Rho*Sref*Cx*vit_xz^2</f>
        <v>11.336068802570036</v>
      </c>
      <c r="Y132" s="314" t="str">
        <f t="shared" ca="1" si="51"/>
        <v/>
      </c>
      <c r="Z132" s="315" t="str">
        <f t="shared" ca="1" si="52"/>
        <v/>
      </c>
      <c r="AA132" s="316" t="str">
        <f t="shared" ca="1" si="53"/>
        <v/>
      </c>
      <c r="AC132" s="310" t="e">
        <f t="shared" ca="1" si="54"/>
        <v>#N/A</v>
      </c>
      <c r="AD132" s="323" t="e">
        <f t="shared" ca="1" si="55"/>
        <v>#N/A</v>
      </c>
      <c r="AE132" s="324">
        <f t="shared" ref="AE132:AE195" ca="1" si="63">IF(t&lt;T_para, pos_z, NA())</f>
        <v>87.809201166235056</v>
      </c>
      <c r="AG132" s="306">
        <f t="shared" ca="1" si="56"/>
        <v>-36.367370589751211</v>
      </c>
      <c r="AH132" s="304">
        <f t="shared" ca="1" si="57"/>
        <v>-26.756579226842991</v>
      </c>
    </row>
    <row r="133" spans="1:34" x14ac:dyDescent="0.3">
      <c r="A133" s="347">
        <f t="shared" ref="A133:A196" ca="1" si="64">IF(B132+0.01&lt;=T_ini+ROUNDUP(Temps_fin_propu,0), 0.01, IF(K132&gt;0, 0.1, 0.0001))</f>
        <v>0.01</v>
      </c>
      <c r="B133" s="304">
        <f t="shared" ref="B133:B196" ca="1" si="65">B132+pas</f>
        <v>1.2900000000000009</v>
      </c>
      <c r="D133" s="306">
        <f t="shared" ref="D133:D196" ca="1" si="66">IF(AND(L132&lt;L_rampe,Poussee&lt;Poids*SIN(M132)),0,(-W132+Poussee)/m*COS(M132)-U132/m*SIN(M132))</f>
        <v>-5.328404601364567</v>
      </c>
      <c r="E133" s="307">
        <f t="shared" ref="E133:E196" ca="1" si="67">IF(AND(L132&lt;L_rampe,Poussee&lt;Poids*SIN(M132)),0,(-W132+Poussee)/m*SIN(M132)+U132/m*COS(M132)-Poids/m)</f>
        <v>-35.817949961225089</v>
      </c>
      <c r="F133" s="304">
        <f t="shared" ref="F133:F196" ca="1" si="68">SQRT(acc_x^2+acc_z^2)</f>
        <v>36.212117240236971</v>
      </c>
      <c r="G133" s="306">
        <f t="shared" ref="G133:G196" ca="1" si="69">G132+acc_x*pas</f>
        <v>18.801977361653258</v>
      </c>
      <c r="H133" s="307">
        <f t="shared" ref="H133:H196" ca="1" si="70">H132+acc_z*pas</f>
        <v>91.674376562447122</v>
      </c>
      <c r="I133" s="304">
        <f t="shared" ref="I133:I196" ca="1" si="71">SQRT(vit_x^2+vit_z^2)</f>
        <v>93.582614148256596</v>
      </c>
      <c r="J133" s="306">
        <f t="shared" ref="J133:J196" ca="1" si="72">J132+0.5*(vit_x+G132)*pas*(K132&gt;=0)</f>
        <v>17.293494671535662</v>
      </c>
      <c r="K133" s="307">
        <f t="shared" ref="K133:K196" ca="1" si="73">K132+0.5*(vit_z+H132)*pas</f>
        <v>88.727735829357584</v>
      </c>
      <c r="L133" s="304">
        <f t="shared" ca="1" si="58"/>
        <v>90.397323319657531</v>
      </c>
      <c r="M133" s="306">
        <f t="shared" ref="M133:M196" ca="1" si="74">IF(AND(L132&gt;L_rampe,G133&gt;0),ATAN2(G133,H133),$M$4)</f>
        <v>1.3685063421004071</v>
      </c>
      <c r="N133" s="304">
        <f t="shared" ref="N133:N196" ca="1" si="75">DEGREES(Beta)</f>
        <v>78.409637639239733</v>
      </c>
      <c r="P133" s="310">
        <f t="shared" ref="P133:P196" ca="1" si="76">MATCH(t-pas/2-T_ini,CdP_t)</f>
        <v>22</v>
      </c>
      <c r="Q133" s="304">
        <f t="shared" ref="Q133:Q196" ca="1" si="77">(INDEX(CdP,2,i_P+1)-INDEX(CdP,2,i_P+0))/(INDEX(CdP,1,i_P+1)-INDEX(CdP,1,i_P+0))*(t-pas/2-T_ini-INDEX(CdP,1,i_P+0))+INDEX(CdP,2,i_P+0)</f>
        <v>0</v>
      </c>
      <c r="R133" s="306">
        <f t="shared" ref="R133:R196" ca="1" si="78">Poussee/(g*ISP)</f>
        <v>0</v>
      </c>
      <c r="S133" s="307">
        <f t="shared" ref="S133:S196" ca="1" si="79">S132-Débit*pas</f>
        <v>0.4270000000000001</v>
      </c>
      <c r="T133" s="304">
        <f t="shared" ca="1" si="59"/>
        <v>4.1888700000000014</v>
      </c>
      <c r="U133" s="311">
        <f t="shared" ca="1" si="60"/>
        <v>0</v>
      </c>
      <c r="V133" s="306">
        <f t="shared" ca="1" si="61"/>
        <v>1.2141788591273397</v>
      </c>
      <c r="W133" s="304">
        <f t="shared" ca="1" si="62"/>
        <v>11.247940329279153</v>
      </c>
      <c r="Y133" s="314" t="str">
        <f t="shared" ref="Y133:Y196" ca="1" si="80">IF(AND(pos_z&lt;=0,K132&gt;0),"Impact balistique","") &amp; IF(AND(H134&lt;0,vit_z&gt;=0),"Apogée","") &amp; IF(AND(Poussee=0,Q132&gt;0),"Fin de propulsion","") &amp; IF(AND(L134&gt;L_rampe,pos_xz&lt;=L_rampe),"Sortie de rampe","")</f>
        <v/>
      </c>
      <c r="Z133" s="315" t="str">
        <f t="shared" ref="Z133:Z196" ca="1" si="81">IF(ABS(t-T_para)&lt;pas/2,"Para","")</f>
        <v/>
      </c>
      <c r="AA133" s="316" t="str">
        <f t="shared" ref="AA133:AA196" ca="1" si="82">IF(ABS(t-T_satellite)&lt;pas/2,"Satellite","")</f>
        <v/>
      </c>
      <c r="AC133" s="310" t="e">
        <f t="shared" ref="AC133:AC196" ca="1" si="83">IF(ABS(t-ROUND(t,0))&lt;0.001,t,NA())</f>
        <v>#N/A</v>
      </c>
      <c r="AD133" s="323" t="e">
        <f t="shared" ref="AD133:AD196" ca="1" si="84">IF(ABS(t-ROUND(t,0))&lt;0.001,pos_x,NA())</f>
        <v>#N/A</v>
      </c>
      <c r="AE133" s="324">
        <f t="shared" ca="1" si="63"/>
        <v>88.727735829357584</v>
      </c>
      <c r="AG133" s="306">
        <f t="shared" ref="AG133:AG196" ca="1" si="85">IF(AND(L132&lt;L_rampe,Poussee&lt;Poids*SIN(M132)),0,(-W132+Poussee)/m-Poids*SIN(M132)/m)</f>
        <v>-36.158549832268079</v>
      </c>
      <c r="AH133" s="304">
        <f t="shared" ref="AH133:AH196" ca="1" si="86">IF(AND(L132&lt;L_rampe,Poussee&lt;Poids*SIN(M132)), g*SIN(M132), (-W132+Poussee)/m)</f>
        <v>-26.548170497822092</v>
      </c>
    </row>
    <row r="134" spans="1:34" x14ac:dyDescent="0.3">
      <c r="A134" s="347">
        <f t="shared" ca="1" si="64"/>
        <v>0.01</v>
      </c>
      <c r="B134" s="304">
        <f t="shared" ca="1" si="65"/>
        <v>1.3000000000000009</v>
      </c>
      <c r="D134" s="306">
        <f t="shared" ca="1" si="66"/>
        <v>-5.2924100014786211</v>
      </c>
      <c r="E134" s="307">
        <f t="shared" ca="1" si="67"/>
        <v>-35.61464692973923</v>
      </c>
      <c r="F134" s="304">
        <f t="shared" ca="1" si="68"/>
        <v>36.005731204264343</v>
      </c>
      <c r="G134" s="306">
        <f t="shared" ca="1" si="69"/>
        <v>18.749053261638473</v>
      </c>
      <c r="H134" s="307">
        <f t="shared" ca="1" si="70"/>
        <v>91.318230093149737</v>
      </c>
      <c r="I134" s="304">
        <f t="shared" ca="1" si="71"/>
        <v>93.223098776822454</v>
      </c>
      <c r="J134" s="306">
        <f t="shared" ca="1" si="72"/>
        <v>17.481249824652121</v>
      </c>
      <c r="K134" s="307">
        <f t="shared" ca="1" si="73"/>
        <v>89.642698862635569</v>
      </c>
      <c r="L134" s="304">
        <f t="shared" ca="1" si="58"/>
        <v>91.331306542768033</v>
      </c>
      <c r="M134" s="306">
        <f t="shared" ca="1" si="74"/>
        <v>1.368294918322744</v>
      </c>
      <c r="N134" s="304">
        <f t="shared" ca="1" si="75"/>
        <v>78.397523949090925</v>
      </c>
      <c r="P134" s="310">
        <f t="shared" ca="1" si="76"/>
        <v>22</v>
      </c>
      <c r="Q134" s="304">
        <f t="shared" ca="1" si="77"/>
        <v>0</v>
      </c>
      <c r="R134" s="306">
        <f t="shared" ca="1" si="78"/>
        <v>0</v>
      </c>
      <c r="S134" s="307">
        <f t="shared" ca="1" si="79"/>
        <v>0.4270000000000001</v>
      </c>
      <c r="T134" s="304">
        <f t="shared" ca="1" si="59"/>
        <v>4.1888700000000014</v>
      </c>
      <c r="U134" s="311">
        <f t="shared" ca="1" si="60"/>
        <v>0</v>
      </c>
      <c r="V134" s="306">
        <f t="shared" ca="1" si="61"/>
        <v>1.2140677691233457</v>
      </c>
      <c r="W134" s="304">
        <f t="shared" ca="1" si="62"/>
        <v>11.16066291188894</v>
      </c>
      <c r="Y134" s="314" t="str">
        <f t="shared" ca="1" si="80"/>
        <v/>
      </c>
      <c r="Z134" s="315" t="str">
        <f t="shared" ca="1" si="81"/>
        <v/>
      </c>
      <c r="AA134" s="316" t="str">
        <f t="shared" ca="1" si="82"/>
        <v/>
      </c>
      <c r="AC134" s="310" t="e">
        <f t="shared" ca="1" si="83"/>
        <v>#N/A</v>
      </c>
      <c r="AD134" s="323" t="e">
        <f t="shared" ca="1" si="84"/>
        <v>#N/A</v>
      </c>
      <c r="AE134" s="324">
        <f t="shared" ca="1" si="63"/>
        <v>89.642698862635569</v>
      </c>
      <c r="AG134" s="306">
        <f t="shared" ca="1" si="85"/>
        <v>-35.951745497105051</v>
      </c>
      <c r="AH134" s="304">
        <f t="shared" ca="1" si="86"/>
        <v>-26.341780630630328</v>
      </c>
    </row>
    <row r="135" spans="1:34" x14ac:dyDescent="0.3">
      <c r="A135" s="347">
        <f t="shared" ca="1" si="64"/>
        <v>0.01</v>
      </c>
      <c r="B135" s="304">
        <f t="shared" ca="1" si="65"/>
        <v>1.3100000000000009</v>
      </c>
      <c r="D135" s="306">
        <f t="shared" ca="1" si="66"/>
        <v>-5.2567572704842016</v>
      </c>
      <c r="E135" s="307">
        <f t="shared" ca="1" si="67"/>
        <v>-35.413307178826791</v>
      </c>
      <c r="F135" s="304">
        <f t="shared" ca="1" si="68"/>
        <v>35.801338275862449</v>
      </c>
      <c r="G135" s="306">
        <f t="shared" ca="1" si="69"/>
        <v>18.696485688933631</v>
      </c>
      <c r="H135" s="307">
        <f t="shared" ca="1" si="70"/>
        <v>90.964097021361468</v>
      </c>
      <c r="I135" s="304">
        <f t="shared" ca="1" si="71"/>
        <v>92.8656315545647</v>
      </c>
      <c r="J135" s="306">
        <f t="shared" ca="1" si="72"/>
        <v>17.668477519404981</v>
      </c>
      <c r="K135" s="307">
        <f t="shared" ca="1" si="73"/>
        <v>90.554110498208132</v>
      </c>
      <c r="L135" s="304">
        <f t="shared" ca="1" si="58"/>
        <v>92.261704005374881</v>
      </c>
      <c r="M135" s="306">
        <f t="shared" ca="1" si="74"/>
        <v>1.3680824619307475</v>
      </c>
      <c r="N135" s="304">
        <f t="shared" ca="1" si="75"/>
        <v>78.385351094498944</v>
      </c>
      <c r="P135" s="310">
        <f t="shared" ca="1" si="76"/>
        <v>22</v>
      </c>
      <c r="Q135" s="304">
        <f t="shared" ca="1" si="77"/>
        <v>0</v>
      </c>
      <c r="R135" s="306">
        <f t="shared" ca="1" si="78"/>
        <v>0</v>
      </c>
      <c r="S135" s="307">
        <f t="shared" ca="1" si="79"/>
        <v>0.4270000000000001</v>
      </c>
      <c r="T135" s="304">
        <f t="shared" ca="1" si="59"/>
        <v>4.1888700000000014</v>
      </c>
      <c r="U135" s="311">
        <f t="shared" ca="1" si="60"/>
        <v>0</v>
      </c>
      <c r="V135" s="306">
        <f t="shared" ca="1" si="61"/>
        <v>1.2139571203710764</v>
      </c>
      <c r="W135" s="304">
        <f t="shared" ca="1" si="62"/>
        <v>11.074225728103956</v>
      </c>
      <c r="Y135" s="314" t="str">
        <f t="shared" ca="1" si="80"/>
        <v/>
      </c>
      <c r="Z135" s="315" t="str">
        <f t="shared" ca="1" si="81"/>
        <v/>
      </c>
      <c r="AA135" s="316" t="str">
        <f t="shared" ca="1" si="82"/>
        <v/>
      </c>
      <c r="AC135" s="310" t="e">
        <f t="shared" ca="1" si="83"/>
        <v>#N/A</v>
      </c>
      <c r="AD135" s="323" t="e">
        <f t="shared" ca="1" si="84"/>
        <v>#N/A</v>
      </c>
      <c r="AE135" s="324">
        <f t="shared" ca="1" si="63"/>
        <v>90.554110498208132</v>
      </c>
      <c r="AG135" s="306">
        <f t="shared" ca="1" si="85"/>
        <v>-35.746931812910688</v>
      </c>
      <c r="AH135" s="304">
        <f t="shared" ca="1" si="86"/>
        <v>-26.137383868592359</v>
      </c>
    </row>
    <row r="136" spans="1:34" x14ac:dyDescent="0.3">
      <c r="A136" s="347">
        <f t="shared" ca="1" si="64"/>
        <v>0.01</v>
      </c>
      <c r="B136" s="304">
        <f t="shared" ca="1" si="65"/>
        <v>1.320000000000001</v>
      </c>
      <c r="D136" s="306">
        <f t="shared" ca="1" si="66"/>
        <v>-5.2214420382690161</v>
      </c>
      <c r="E136" s="307">
        <f t="shared" ca="1" si="67"/>
        <v>-35.213905742652322</v>
      </c>
      <c r="F136" s="304">
        <f t="shared" ca="1" si="68"/>
        <v>35.598913109972962</v>
      </c>
      <c r="G136" s="306">
        <f t="shared" ca="1" si="69"/>
        <v>18.644271268550941</v>
      </c>
      <c r="H136" s="307">
        <f t="shared" ca="1" si="70"/>
        <v>90.611957963934941</v>
      </c>
      <c r="I136" s="304">
        <f t="shared" ca="1" si="71"/>
        <v>92.510192828645785</v>
      </c>
      <c r="J136" s="306">
        <f t="shared" ca="1" si="72"/>
        <v>17.855181304192403</v>
      </c>
      <c r="K136" s="307">
        <f t="shared" ca="1" si="73"/>
        <v>91.461990773134616</v>
      </c>
      <c r="L136" s="304">
        <f t="shared" ca="1" si="58"/>
        <v>93.188536073867709</v>
      </c>
      <c r="M136" s="306">
        <f t="shared" ca="1" si="74"/>
        <v>1.3678689685623773</v>
      </c>
      <c r="N136" s="304">
        <f t="shared" ca="1" si="75"/>
        <v>78.373118825537304</v>
      </c>
      <c r="P136" s="310">
        <f t="shared" ca="1" si="76"/>
        <v>22</v>
      </c>
      <c r="Q136" s="304">
        <f t="shared" ca="1" si="77"/>
        <v>0</v>
      </c>
      <c r="R136" s="306">
        <f t="shared" ca="1" si="78"/>
        <v>0</v>
      </c>
      <c r="S136" s="307">
        <f t="shared" ca="1" si="79"/>
        <v>0.4270000000000001</v>
      </c>
      <c r="T136" s="304">
        <f t="shared" ca="1" si="59"/>
        <v>4.1888700000000014</v>
      </c>
      <c r="U136" s="311">
        <f t="shared" ca="1" si="60"/>
        <v>0</v>
      </c>
      <c r="V136" s="306">
        <f t="shared" ca="1" si="61"/>
        <v>1.2138469103195633</v>
      </c>
      <c r="W136" s="304">
        <f t="shared" ca="1" si="62"/>
        <v>10.988618128069065</v>
      </c>
      <c r="Y136" s="314" t="str">
        <f t="shared" ca="1" si="80"/>
        <v/>
      </c>
      <c r="Z136" s="315" t="str">
        <f t="shared" ca="1" si="81"/>
        <v/>
      </c>
      <c r="AA136" s="316" t="str">
        <f t="shared" ca="1" si="82"/>
        <v/>
      </c>
      <c r="AC136" s="310" t="e">
        <f t="shared" ca="1" si="83"/>
        <v>#N/A</v>
      </c>
      <c r="AD136" s="323" t="e">
        <f t="shared" ca="1" si="84"/>
        <v>#N/A</v>
      </c>
      <c r="AE136" s="324">
        <f t="shared" ca="1" si="63"/>
        <v>91.461990773134616</v>
      </c>
      <c r="AG136" s="306">
        <f t="shared" ca="1" si="85"/>
        <v>-35.544083419928555</v>
      </c>
      <c r="AH136" s="304">
        <f t="shared" ca="1" si="86"/>
        <v>-25.934954866753991</v>
      </c>
    </row>
    <row r="137" spans="1:34" x14ac:dyDescent="0.3">
      <c r="A137" s="347">
        <f t="shared" ca="1" si="64"/>
        <v>0.01</v>
      </c>
      <c r="B137" s="304">
        <f t="shared" ca="1" si="65"/>
        <v>1.330000000000001</v>
      </c>
      <c r="D137" s="306">
        <f t="shared" ca="1" si="66"/>
        <v>-5.1864600043077749</v>
      </c>
      <c r="E137" s="307">
        <f t="shared" ca="1" si="67"/>
        <v>-35.016418053178853</v>
      </c>
      <c r="F137" s="304">
        <f t="shared" ca="1" si="68"/>
        <v>35.398430765378201</v>
      </c>
      <c r="G137" s="306">
        <f t="shared" ca="1" si="69"/>
        <v>18.592406668507863</v>
      </c>
      <c r="H137" s="307">
        <f t="shared" ca="1" si="70"/>
        <v>90.261793783403149</v>
      </c>
      <c r="I137" s="304">
        <f t="shared" ca="1" si="71"/>
        <v>92.156763195789225</v>
      </c>
      <c r="J137" s="306">
        <f t="shared" ca="1" si="72"/>
        <v>18.041364693877696</v>
      </c>
      <c r="K137" s="307">
        <f t="shared" ca="1" si="73"/>
        <v>92.366359531871311</v>
      </c>
      <c r="L137" s="304">
        <f t="shared" ca="1" si="58"/>
        <v>94.111822919272001</v>
      </c>
      <c r="M137" s="306">
        <f t="shared" ca="1" si="74"/>
        <v>1.3676544338240297</v>
      </c>
      <c r="N137" s="304">
        <f t="shared" ca="1" si="75"/>
        <v>78.360826890471046</v>
      </c>
      <c r="P137" s="310">
        <f t="shared" ca="1" si="76"/>
        <v>22</v>
      </c>
      <c r="Q137" s="304">
        <f t="shared" ca="1" si="77"/>
        <v>0</v>
      </c>
      <c r="R137" s="306">
        <f t="shared" ca="1" si="78"/>
        <v>0</v>
      </c>
      <c r="S137" s="307">
        <f t="shared" ca="1" si="79"/>
        <v>0.4270000000000001</v>
      </c>
      <c r="T137" s="304">
        <f t="shared" ca="1" si="59"/>
        <v>4.1888700000000014</v>
      </c>
      <c r="U137" s="311">
        <f t="shared" ca="1" si="60"/>
        <v>0</v>
      </c>
      <c r="V137" s="306">
        <f t="shared" ca="1" si="61"/>
        <v>1.2137371364425809</v>
      </c>
      <c r="W137" s="304">
        <f t="shared" ca="1" si="62"/>
        <v>10.903829631079732</v>
      </c>
      <c r="Y137" s="314" t="str">
        <f t="shared" ca="1" si="80"/>
        <v/>
      </c>
      <c r="Z137" s="315" t="str">
        <f t="shared" ca="1" si="81"/>
        <v/>
      </c>
      <c r="AA137" s="316" t="str">
        <f t="shared" ca="1" si="82"/>
        <v/>
      </c>
      <c r="AC137" s="310" t="e">
        <f t="shared" ca="1" si="83"/>
        <v>#N/A</v>
      </c>
      <c r="AD137" s="323" t="e">
        <f t="shared" ca="1" si="84"/>
        <v>#N/A</v>
      </c>
      <c r="AE137" s="324">
        <f t="shared" ca="1" si="63"/>
        <v>92.366359531871311</v>
      </c>
      <c r="AG137" s="306">
        <f t="shared" ca="1" si="85"/>
        <v>-35.343175362116263</v>
      </c>
      <c r="AH137" s="304">
        <f t="shared" ca="1" si="86"/>
        <v>-25.73446868400249</v>
      </c>
    </row>
    <row r="138" spans="1:34" x14ac:dyDescent="0.3">
      <c r="A138" s="347">
        <f t="shared" ca="1" si="64"/>
        <v>0.01</v>
      </c>
      <c r="B138" s="304">
        <f t="shared" ca="1" si="65"/>
        <v>1.340000000000001</v>
      </c>
      <c r="D138" s="306">
        <f t="shared" ca="1" si="66"/>
        <v>-5.1518069363344932</v>
      </c>
      <c r="E138" s="307">
        <f t="shared" ca="1" si="67"/>
        <v>-34.820819932578942</v>
      </c>
      <c r="F138" s="304">
        <f t="shared" ca="1" si="68"/>
        <v>35.199866696996892</v>
      </c>
      <c r="G138" s="306">
        <f t="shared" ca="1" si="69"/>
        <v>18.54088859914452</v>
      </c>
      <c r="H138" s="307">
        <f t="shared" ca="1" si="70"/>
        <v>89.913585584077353</v>
      </c>
      <c r="I138" s="304">
        <f t="shared" ca="1" si="71"/>
        <v>91.805323498319467</v>
      </c>
      <c r="J138" s="306">
        <f t="shared" ca="1" si="72"/>
        <v>18.227031170215959</v>
      </c>
      <c r="K138" s="307">
        <f t="shared" ca="1" si="73"/>
        <v>93.267236428708713</v>
      </c>
      <c r="L138" s="304">
        <f t="shared" ca="1" si="58"/>
        <v>95.031584519719942</v>
      </c>
      <c r="M138" s="306">
        <f t="shared" ca="1" si="74"/>
        <v>1.3674388532902955</v>
      </c>
      <c r="N138" s="304">
        <f t="shared" ca="1" si="75"/>
        <v>78.348475035742894</v>
      </c>
      <c r="P138" s="310">
        <f t="shared" ca="1" si="76"/>
        <v>22</v>
      </c>
      <c r="Q138" s="304">
        <f t="shared" ca="1" si="77"/>
        <v>0</v>
      </c>
      <c r="R138" s="306">
        <f t="shared" ca="1" si="78"/>
        <v>0</v>
      </c>
      <c r="S138" s="307">
        <f t="shared" ca="1" si="79"/>
        <v>0.4270000000000001</v>
      </c>
      <c r="T138" s="304">
        <f t="shared" ca="1" si="59"/>
        <v>4.1888700000000014</v>
      </c>
      <c r="U138" s="311">
        <f t="shared" ca="1" si="60"/>
        <v>0</v>
      </c>
      <c r="V138" s="306">
        <f t="shared" ca="1" si="61"/>
        <v>1.2136277962383308</v>
      </c>
      <c r="W138" s="304">
        <f t="shared" ca="1" si="62"/>
        <v>10.819849922365394</v>
      </c>
      <c r="Y138" s="314" t="str">
        <f t="shared" ca="1" si="80"/>
        <v/>
      </c>
      <c r="Z138" s="315" t="str">
        <f t="shared" ca="1" si="81"/>
        <v/>
      </c>
      <c r="AA138" s="316" t="str">
        <f t="shared" ca="1" si="82"/>
        <v/>
      </c>
      <c r="AC138" s="310" t="e">
        <f t="shared" ca="1" si="83"/>
        <v>#N/A</v>
      </c>
      <c r="AD138" s="323" t="e">
        <f t="shared" ca="1" si="84"/>
        <v>#N/A</v>
      </c>
      <c r="AE138" s="324">
        <f t="shared" ca="1" si="63"/>
        <v>93.267236428708713</v>
      </c>
      <c r="AG138" s="306">
        <f t="shared" ca="1" si="85"/>
        <v>-35.144183079440111</v>
      </c>
      <c r="AH138" s="304">
        <f t="shared" ca="1" si="86"/>
        <v>-25.535900775362364</v>
      </c>
    </row>
    <row r="139" spans="1:34" x14ac:dyDescent="0.3">
      <c r="A139" s="347">
        <f t="shared" ca="1" si="64"/>
        <v>0.01</v>
      </c>
      <c r="B139" s="304">
        <f t="shared" ca="1" si="65"/>
        <v>1.350000000000001</v>
      </c>
      <c r="D139" s="306">
        <f t="shared" ca="1" si="66"/>
        <v>-5.1174786690441989</v>
      </c>
      <c r="E139" s="307">
        <f t="shared" ca="1" si="67"/>
        <v>-34.627087585814309</v>
      </c>
      <c r="F139" s="304">
        <f t="shared" ca="1" si="68"/>
        <v>35.003196748351115</v>
      </c>
      <c r="G139" s="306">
        <f t="shared" ca="1" si="69"/>
        <v>18.489713812454077</v>
      </c>
      <c r="H139" s="307">
        <f t="shared" ca="1" si="70"/>
        <v>89.567314708219214</v>
      </c>
      <c r="I139" s="304">
        <f t="shared" ca="1" si="71"/>
        <v>91.455854820277295</v>
      </c>
      <c r="J139" s="306">
        <f t="shared" ca="1" si="72"/>
        <v>18.41218418227395</v>
      </c>
      <c r="K139" s="307">
        <f t="shared" ca="1" si="73"/>
        <v>94.164640930170194</v>
      </c>
      <c r="L139" s="304">
        <f t="shared" ca="1" si="58"/>
        <v>95.947840662882371</v>
      </c>
      <c r="M139" s="306">
        <f t="shared" ca="1" si="74"/>
        <v>1.3672222225037134</v>
      </c>
      <c r="N139" s="304">
        <f t="shared" ca="1" si="75"/>
        <v>78.336063005959147</v>
      </c>
      <c r="P139" s="310">
        <f t="shared" ca="1" si="76"/>
        <v>22</v>
      </c>
      <c r="Q139" s="304">
        <f t="shared" ca="1" si="77"/>
        <v>0</v>
      </c>
      <c r="R139" s="306">
        <f t="shared" ca="1" si="78"/>
        <v>0</v>
      </c>
      <c r="S139" s="307">
        <f t="shared" ca="1" si="79"/>
        <v>0.4270000000000001</v>
      </c>
      <c r="T139" s="304">
        <f t="shared" ca="1" si="59"/>
        <v>4.1888700000000014</v>
      </c>
      <c r="U139" s="311">
        <f t="shared" ca="1" si="60"/>
        <v>0</v>
      </c>
      <c r="V139" s="306">
        <f t="shared" ca="1" si="61"/>
        <v>1.2135188872291318</v>
      </c>
      <c r="W139" s="304">
        <f t="shared" ca="1" si="62"/>
        <v>10.73666884994412</v>
      </c>
      <c r="Y139" s="314" t="str">
        <f t="shared" ca="1" si="80"/>
        <v/>
      </c>
      <c r="Z139" s="315" t="str">
        <f t="shared" ca="1" si="81"/>
        <v/>
      </c>
      <c r="AA139" s="316" t="str">
        <f t="shared" ca="1" si="82"/>
        <v/>
      </c>
      <c r="AC139" s="310" t="e">
        <f t="shared" ca="1" si="83"/>
        <v>#N/A</v>
      </c>
      <c r="AD139" s="323" t="e">
        <f t="shared" ca="1" si="84"/>
        <v>#N/A</v>
      </c>
      <c r="AE139" s="324">
        <f t="shared" ca="1" si="63"/>
        <v>94.164640930170194</v>
      </c>
      <c r="AG139" s="306">
        <f t="shared" ca="1" si="85"/>
        <v>-34.94708240034069</v>
      </c>
      <c r="AH139" s="304">
        <f t="shared" ca="1" si="86"/>
        <v>-25.339226984462275</v>
      </c>
    </row>
    <row r="140" spans="1:34" x14ac:dyDescent="0.3">
      <c r="A140" s="347">
        <f t="shared" ca="1" si="64"/>
        <v>0.01</v>
      </c>
      <c r="B140" s="304">
        <f t="shared" ca="1" si="65"/>
        <v>1.360000000000001</v>
      </c>
      <c r="D140" s="306">
        <f t="shared" ca="1" si="66"/>
        <v>-5.0834711028234612</v>
      </c>
      <c r="E140" s="307">
        <f t="shared" ca="1" si="67"/>
        <v>-34.435197593379897</v>
      </c>
      <c r="F140" s="304">
        <f t="shared" ca="1" si="68"/>
        <v>34.8083971442001</v>
      </c>
      <c r="G140" s="306">
        <f t="shared" ca="1" si="69"/>
        <v>18.438879101425844</v>
      </c>
      <c r="H140" s="307">
        <f t="shared" ca="1" si="70"/>
        <v>89.22296273228541</v>
      </c>
      <c r="I140" s="304">
        <f t="shared" ca="1" si="71"/>
        <v>91.108338483608563</v>
      </c>
      <c r="J140" s="306">
        <f t="shared" ca="1" si="72"/>
        <v>18.596827146843349</v>
      </c>
      <c r="K140" s="307">
        <f t="shared" ca="1" si="73"/>
        <v>95.058592317372714</v>
      </c>
      <c r="L140" s="304">
        <f t="shared" ca="1" si="58"/>
        <v>96.860610948362492</v>
      </c>
      <c r="M140" s="306">
        <f t="shared" ca="1" si="74"/>
        <v>1.3670045369745207</v>
      </c>
      <c r="N140" s="304">
        <f t="shared" ca="1" si="75"/>
        <v>78.323590543875326</v>
      </c>
      <c r="P140" s="310">
        <f t="shared" ca="1" si="76"/>
        <v>22</v>
      </c>
      <c r="Q140" s="304">
        <f t="shared" ca="1" si="77"/>
        <v>0</v>
      </c>
      <c r="R140" s="306">
        <f t="shared" ca="1" si="78"/>
        <v>0</v>
      </c>
      <c r="S140" s="307">
        <f t="shared" ca="1" si="79"/>
        <v>0.4270000000000001</v>
      </c>
      <c r="T140" s="304">
        <f t="shared" ca="1" si="59"/>
        <v>4.1888700000000014</v>
      </c>
      <c r="U140" s="311">
        <f t="shared" ca="1" si="60"/>
        <v>0</v>
      </c>
      <c r="V140" s="306">
        <f t="shared" ca="1" si="61"/>
        <v>1.2134104069611125</v>
      </c>
      <c r="W140" s="304">
        <f t="shared" ca="1" si="62"/>
        <v>10.654276421546591</v>
      </c>
      <c r="Y140" s="314" t="str">
        <f t="shared" ca="1" si="80"/>
        <v/>
      </c>
      <c r="Z140" s="315" t="str">
        <f t="shared" ca="1" si="81"/>
        <v/>
      </c>
      <c r="AA140" s="316" t="str">
        <f t="shared" ca="1" si="82"/>
        <v/>
      </c>
      <c r="AC140" s="310" t="e">
        <f t="shared" ca="1" si="83"/>
        <v>#N/A</v>
      </c>
      <c r="AD140" s="323" t="e">
        <f t="shared" ca="1" si="84"/>
        <v>#N/A</v>
      </c>
      <c r="AE140" s="324">
        <f t="shared" ca="1" si="63"/>
        <v>95.058592317372714</v>
      </c>
      <c r="AG140" s="306">
        <f t="shared" ca="1" si="85"/>
        <v>-34.751849534365547</v>
      </c>
      <c r="AH140" s="304">
        <f t="shared" ca="1" si="86"/>
        <v>-25.144423536168894</v>
      </c>
    </row>
    <row r="141" spans="1:34" x14ac:dyDescent="0.3">
      <c r="A141" s="347">
        <f t="shared" ca="1" si="64"/>
        <v>0.01</v>
      </c>
      <c r="B141" s="304">
        <f t="shared" ca="1" si="65"/>
        <v>1.370000000000001</v>
      </c>
      <c r="D141" s="306">
        <f t="shared" ca="1" si="66"/>
        <v>-5.0497802025089227</v>
      </c>
      <c r="E141" s="307">
        <f t="shared" ca="1" si="67"/>
        <v>-34.245126904207829</v>
      </c>
      <c r="F141" s="304">
        <f t="shared" ca="1" si="68"/>
        <v>34.615444483336482</v>
      </c>
      <c r="G141" s="306">
        <f t="shared" ca="1" si="69"/>
        <v>18.388381299400756</v>
      </c>
      <c r="H141" s="307">
        <f t="shared" ca="1" si="70"/>
        <v>88.880511463243337</v>
      </c>
      <c r="I141" s="304">
        <f t="shared" ca="1" si="71"/>
        <v>90.762756044425416</v>
      </c>
      <c r="J141" s="306">
        <f t="shared" ca="1" si="72"/>
        <v>18.780963448847483</v>
      </c>
      <c r="K141" s="307">
        <f t="shared" ca="1" si="73"/>
        <v>95.949109688350362</v>
      </c>
      <c r="L141" s="304">
        <f t="shared" ca="1" si="58"/>
        <v>97.769914790052027</v>
      </c>
      <c r="M141" s="306">
        <f t="shared" ca="1" si="74"/>
        <v>1.3667857921804041</v>
      </c>
      <c r="N141" s="304">
        <f t="shared" ca="1" si="75"/>
        <v>78.31105739038199</v>
      </c>
      <c r="P141" s="310">
        <f t="shared" ca="1" si="76"/>
        <v>22</v>
      </c>
      <c r="Q141" s="304">
        <f t="shared" ca="1" si="77"/>
        <v>0</v>
      </c>
      <c r="R141" s="306">
        <f t="shared" ca="1" si="78"/>
        <v>0</v>
      </c>
      <c r="S141" s="307">
        <f t="shared" ca="1" si="79"/>
        <v>0.4270000000000001</v>
      </c>
      <c r="T141" s="304">
        <f t="shared" ca="1" si="59"/>
        <v>4.1888700000000014</v>
      </c>
      <c r="U141" s="311">
        <f t="shared" ca="1" si="60"/>
        <v>0</v>
      </c>
      <c r="V141" s="306">
        <f t="shared" ca="1" si="61"/>
        <v>1.2133023530039133</v>
      </c>
      <c r="W141" s="304">
        <f t="shared" ca="1" si="62"/>
        <v>10.572662801607915</v>
      </c>
      <c r="Y141" s="314" t="str">
        <f t="shared" ca="1" si="80"/>
        <v/>
      </c>
      <c r="Z141" s="315" t="str">
        <f t="shared" ca="1" si="81"/>
        <v/>
      </c>
      <c r="AA141" s="316" t="str">
        <f t="shared" ca="1" si="82"/>
        <v/>
      </c>
      <c r="AC141" s="310" t="e">
        <f t="shared" ca="1" si="83"/>
        <v>#N/A</v>
      </c>
      <c r="AD141" s="323" t="e">
        <f t="shared" ca="1" si="84"/>
        <v>#N/A</v>
      </c>
      <c r="AE141" s="324">
        <f t="shared" ca="1" si="63"/>
        <v>95.949109688350362</v>
      </c>
      <c r="AG141" s="306">
        <f t="shared" ca="1" si="85"/>
        <v>-34.558461064964085</v>
      </c>
      <c r="AH141" s="304">
        <f t="shared" ca="1" si="86"/>
        <v>-24.95146702938311</v>
      </c>
    </row>
    <row r="142" spans="1:34" x14ac:dyDescent="0.3">
      <c r="A142" s="347">
        <f t="shared" ca="1" si="64"/>
        <v>0.01</v>
      </c>
      <c r="B142" s="304">
        <f t="shared" ca="1" si="65"/>
        <v>1.380000000000001</v>
      </c>
      <c r="D142" s="306">
        <f t="shared" ca="1" si="66"/>
        <v>-5.0164019961731334</v>
      </c>
      <c r="E142" s="307">
        <f t="shared" ca="1" si="67"/>
        <v>-34.056852828727926</v>
      </c>
      <c r="F142" s="304">
        <f t="shared" ca="1" si="68"/>
        <v>34.42431573154132</v>
      </c>
      <c r="G142" s="306">
        <f t="shared" ca="1" si="69"/>
        <v>18.338217279439025</v>
      </c>
      <c r="H142" s="307">
        <f t="shared" ca="1" si="70"/>
        <v>88.539942934956059</v>
      </c>
      <c r="I142" s="304">
        <f t="shared" ca="1" si="71"/>
        <v>90.419089289337521</v>
      </c>
      <c r="J142" s="306">
        <f t="shared" ca="1" si="72"/>
        <v>18.964596441741683</v>
      </c>
      <c r="K142" s="307">
        <f t="shared" ca="1" si="73"/>
        <v>96.836211960341359</v>
      </c>
      <c r="L142" s="304">
        <f t="shared" ca="1" si="58"/>
        <v>98.675771418450438</v>
      </c>
      <c r="M142" s="306">
        <f t="shared" ca="1" si="74"/>
        <v>1.3665659835662443</v>
      </c>
      <c r="N142" s="304">
        <f t="shared" ca="1" si="75"/>
        <v>78.298463284490012</v>
      </c>
      <c r="P142" s="310">
        <f t="shared" ca="1" si="76"/>
        <v>22</v>
      </c>
      <c r="Q142" s="304">
        <f t="shared" ca="1" si="77"/>
        <v>0</v>
      </c>
      <c r="R142" s="306">
        <f t="shared" ca="1" si="78"/>
        <v>0</v>
      </c>
      <c r="S142" s="307">
        <f t="shared" ca="1" si="79"/>
        <v>0.4270000000000001</v>
      </c>
      <c r="T142" s="304">
        <f t="shared" ca="1" si="59"/>
        <v>4.1888700000000014</v>
      </c>
      <c r="U142" s="311">
        <f t="shared" ca="1" si="60"/>
        <v>0</v>
      </c>
      <c r="V142" s="306">
        <f t="shared" ca="1" si="61"/>
        <v>1.2131947229503897</v>
      </c>
      <c r="W142" s="304">
        <f t="shared" ca="1" si="62"/>
        <v>10.491818308325268</v>
      </c>
      <c r="Y142" s="314" t="str">
        <f t="shared" ca="1" si="80"/>
        <v/>
      </c>
      <c r="Z142" s="315" t="str">
        <f t="shared" ca="1" si="81"/>
        <v/>
      </c>
      <c r="AA142" s="316" t="str">
        <f t="shared" ca="1" si="82"/>
        <v/>
      </c>
      <c r="AC142" s="310" t="e">
        <f t="shared" ca="1" si="83"/>
        <v>#N/A</v>
      </c>
      <c r="AD142" s="323" t="e">
        <f t="shared" ca="1" si="84"/>
        <v>#N/A</v>
      </c>
      <c r="AE142" s="324">
        <f t="shared" ca="1" si="63"/>
        <v>96.836211960341359</v>
      </c>
      <c r="AG142" s="306">
        <f t="shared" ca="1" si="85"/>
        <v>-34.366893942441408</v>
      </c>
      <c r="AH142" s="304">
        <f t="shared" ca="1" si="86"/>
        <v>-24.760334429995112</v>
      </c>
    </row>
    <row r="143" spans="1:34" x14ac:dyDescent="0.3">
      <c r="A143" s="347">
        <f t="shared" ca="1" si="64"/>
        <v>0.01</v>
      </c>
      <c r="B143" s="304">
        <f t="shared" ca="1" si="65"/>
        <v>1.390000000000001</v>
      </c>
      <c r="D143" s="306">
        <f t="shared" ca="1" si="66"/>
        <v>-4.9833325739370338</v>
      </c>
      <c r="E143" s="307">
        <f t="shared" ca="1" si="67"/>
        <v>-33.87035303207999</v>
      </c>
      <c r="F143" s="304">
        <f t="shared" ca="1" si="68"/>
        <v>34.234988214693338</v>
      </c>
      <c r="G143" s="306">
        <f t="shared" ca="1" si="69"/>
        <v>18.288383953699654</v>
      </c>
      <c r="H143" s="307">
        <f t="shared" ca="1" si="70"/>
        <v>88.20123940463526</v>
      </c>
      <c r="I143" s="304">
        <f t="shared" ca="1" si="71"/>
        <v>90.07732023185261</v>
      </c>
      <c r="J143" s="306">
        <f t="shared" ca="1" si="72"/>
        <v>19.147729447907377</v>
      </c>
      <c r="K143" s="307">
        <f t="shared" ca="1" si="73"/>
        <v>97.719917872039318</v>
      </c>
      <c r="L143" s="304">
        <f t="shared" ca="1" si="58"/>
        <v>99.578199882948127</v>
      </c>
      <c r="M143" s="306">
        <f t="shared" ca="1" si="74"/>
        <v>1.3663451065438614</v>
      </c>
      <c r="N143" s="304">
        <f t="shared" ca="1" si="75"/>
        <v>78.28580796331606</v>
      </c>
      <c r="P143" s="310">
        <f t="shared" ca="1" si="76"/>
        <v>22</v>
      </c>
      <c r="Q143" s="304">
        <f t="shared" ca="1" si="77"/>
        <v>0</v>
      </c>
      <c r="R143" s="306">
        <f t="shared" ca="1" si="78"/>
        <v>0</v>
      </c>
      <c r="S143" s="307">
        <f t="shared" ca="1" si="79"/>
        <v>0.4270000000000001</v>
      </c>
      <c r="T143" s="304">
        <f t="shared" ca="1" si="59"/>
        <v>4.1888700000000014</v>
      </c>
      <c r="U143" s="311">
        <f t="shared" ca="1" si="60"/>
        <v>0</v>
      </c>
      <c r="V143" s="306">
        <f t="shared" ca="1" si="61"/>
        <v>1.2130875144163196</v>
      </c>
      <c r="W143" s="304">
        <f t="shared" ca="1" si="62"/>
        <v>10.411733410779973</v>
      </c>
      <c r="Y143" s="314" t="str">
        <f t="shared" ca="1" si="80"/>
        <v/>
      </c>
      <c r="Z143" s="315" t="str">
        <f t="shared" ca="1" si="81"/>
        <v/>
      </c>
      <c r="AA143" s="316" t="str">
        <f t="shared" ca="1" si="82"/>
        <v/>
      </c>
      <c r="AC143" s="310" t="e">
        <f t="shared" ca="1" si="83"/>
        <v>#N/A</v>
      </c>
      <c r="AD143" s="323" t="e">
        <f t="shared" ca="1" si="84"/>
        <v>#N/A</v>
      </c>
      <c r="AE143" s="324">
        <f t="shared" ca="1" si="63"/>
        <v>97.719917872039318</v>
      </c>
      <c r="AG143" s="306">
        <f t="shared" ca="1" si="85"/>
        <v>-34.177125477066213</v>
      </c>
      <c r="AH143" s="304">
        <f t="shared" ca="1" si="86"/>
        <v>-24.571003063993597</v>
      </c>
    </row>
    <row r="144" spans="1:34" x14ac:dyDescent="0.3">
      <c r="A144" s="347">
        <f t="shared" ca="1" si="64"/>
        <v>0.01</v>
      </c>
      <c r="B144" s="304">
        <f t="shared" ca="1" si="65"/>
        <v>1.400000000000001</v>
      </c>
      <c r="D144" s="306">
        <f t="shared" ca="1" si="66"/>
        <v>-4.9505680868083797</v>
      </c>
      <c r="E144" s="307">
        <f t="shared" ca="1" si="67"/>
        <v>-33.685605527474792</v>
      </c>
      <c r="F144" s="304">
        <f t="shared" ca="1" si="68"/>
        <v>34.047439612029059</v>
      </c>
      <c r="G144" s="306">
        <f t="shared" ca="1" si="69"/>
        <v>18.23887827283157</v>
      </c>
      <c r="H144" s="307">
        <f t="shared" ca="1" si="70"/>
        <v>87.864383349360509</v>
      </c>
      <c r="I144" s="304">
        <f t="shared" ca="1" si="71"/>
        <v>89.737431108844135</v>
      </c>
      <c r="J144" s="306">
        <f t="shared" ca="1" si="72"/>
        <v>19.330365759040035</v>
      </c>
      <c r="K144" s="307">
        <f t="shared" ca="1" si="73"/>
        <v>98.600245985809295</v>
      </c>
      <c r="L144" s="304">
        <f t="shared" ca="1" si="58"/>
        <v>100.477219054074</v>
      </c>
      <c r="M144" s="306">
        <f t="shared" ca="1" si="74"/>
        <v>1.366123156491756</v>
      </c>
      <c r="N144" s="304">
        <f t="shared" ca="1" si="75"/>
        <v>78.273091162067715</v>
      </c>
      <c r="P144" s="310">
        <f t="shared" ca="1" si="76"/>
        <v>22</v>
      </c>
      <c r="Q144" s="304">
        <f t="shared" ca="1" si="77"/>
        <v>0</v>
      </c>
      <c r="R144" s="306">
        <f t="shared" ca="1" si="78"/>
        <v>0</v>
      </c>
      <c r="S144" s="307">
        <f t="shared" ca="1" si="79"/>
        <v>0.4270000000000001</v>
      </c>
      <c r="T144" s="304">
        <f t="shared" ca="1" si="59"/>
        <v>4.1888700000000014</v>
      </c>
      <c r="U144" s="311">
        <f t="shared" ca="1" si="60"/>
        <v>0</v>
      </c>
      <c r="V144" s="306">
        <f t="shared" ca="1" si="61"/>
        <v>1.212980725040119</v>
      </c>
      <c r="W144" s="304">
        <f t="shared" ca="1" si="62"/>
        <v>10.332398726122264</v>
      </c>
      <c r="Y144" s="314" t="str">
        <f t="shared" ca="1" si="80"/>
        <v/>
      </c>
      <c r="Z144" s="315" t="str">
        <f t="shared" ca="1" si="81"/>
        <v/>
      </c>
      <c r="AA144" s="316" t="str">
        <f t="shared" ca="1" si="82"/>
        <v/>
      </c>
      <c r="AC144" s="310" t="e">
        <f t="shared" ca="1" si="83"/>
        <v>#N/A</v>
      </c>
      <c r="AD144" s="323" t="e">
        <f t="shared" ca="1" si="84"/>
        <v>#N/A</v>
      </c>
      <c r="AE144" s="324">
        <f t="shared" ca="1" si="63"/>
        <v>98.600245985809295</v>
      </c>
      <c r="AG144" s="306">
        <f t="shared" ca="1" si="85"/>
        <v>-33.989133332329651</v>
      </c>
      <c r="AH144" s="304">
        <f t="shared" ca="1" si="86"/>
        <v>-24.383450610725927</v>
      </c>
    </row>
    <row r="145" spans="1:34" x14ac:dyDescent="0.3">
      <c r="A145" s="347">
        <f t="shared" ca="1" si="64"/>
        <v>0.01</v>
      </c>
      <c r="B145" s="304">
        <f t="shared" ca="1" si="65"/>
        <v>1.410000000000001</v>
      </c>
      <c r="D145" s="306">
        <f t="shared" ca="1" si="66"/>
        <v>-4.9181047455455182</v>
      </c>
      <c r="E145" s="307">
        <f t="shared" ca="1" si="67"/>
        <v>-33.502588669699669</v>
      </c>
      <c r="F145" s="304">
        <f t="shared" ca="1" si="68"/>
        <v>33.861647949549734</v>
      </c>
      <c r="G145" s="306">
        <f t="shared" ca="1" si="69"/>
        <v>18.189697225376115</v>
      </c>
      <c r="H145" s="307">
        <f t="shared" ca="1" si="70"/>
        <v>87.529357462663512</v>
      </c>
      <c r="I145" s="304">
        <f t="shared" ca="1" si="71"/>
        <v>89.399404377085105</v>
      </c>
      <c r="J145" s="306">
        <f t="shared" ca="1" si="72"/>
        <v>19.512508636531074</v>
      </c>
      <c r="K145" s="307">
        <f t="shared" ca="1" si="73"/>
        <v>99.477214689869413</v>
      </c>
      <c r="L145" s="304">
        <f t="shared" ca="1" si="58"/>
        <v>101.37284762570829</v>
      </c>
      <c r="M145" s="306">
        <f t="shared" ca="1" si="74"/>
        <v>1.3659001287548467</v>
      </c>
      <c r="N145" s="304">
        <f t="shared" ca="1" si="75"/>
        <v>78.26031261402845</v>
      </c>
      <c r="P145" s="310">
        <f t="shared" ca="1" si="76"/>
        <v>22</v>
      </c>
      <c r="Q145" s="304">
        <f t="shared" ca="1" si="77"/>
        <v>0</v>
      </c>
      <c r="R145" s="306">
        <f t="shared" ca="1" si="78"/>
        <v>0</v>
      </c>
      <c r="S145" s="307">
        <f t="shared" ca="1" si="79"/>
        <v>0.4270000000000001</v>
      </c>
      <c r="T145" s="304">
        <f t="shared" ca="1" si="59"/>
        <v>4.1888700000000014</v>
      </c>
      <c r="U145" s="311">
        <f t="shared" ca="1" si="60"/>
        <v>0</v>
      </c>
      <c r="V145" s="306">
        <f t="shared" ca="1" si="61"/>
        <v>1.2128743524825585</v>
      </c>
      <c r="W145" s="304">
        <f t="shared" ca="1" si="62"/>
        <v>10.253805016817251</v>
      </c>
      <c r="Y145" s="314" t="str">
        <f t="shared" ca="1" si="80"/>
        <v/>
      </c>
      <c r="Z145" s="315" t="str">
        <f t="shared" ca="1" si="81"/>
        <v/>
      </c>
      <c r="AA145" s="316" t="str">
        <f t="shared" ca="1" si="82"/>
        <v/>
      </c>
      <c r="AC145" s="310" t="e">
        <f t="shared" ca="1" si="83"/>
        <v>#N/A</v>
      </c>
      <c r="AD145" s="323" t="e">
        <f t="shared" ca="1" si="84"/>
        <v>#N/A</v>
      </c>
      <c r="AE145" s="324">
        <f t="shared" ca="1" si="63"/>
        <v>99.477214689869413</v>
      </c>
      <c r="AG145" s="306">
        <f t="shared" ca="1" si="85"/>
        <v>-33.802895518350937</v>
      </c>
      <c r="AH145" s="304">
        <f t="shared" ca="1" si="86"/>
        <v>-24.197655096305063</v>
      </c>
    </row>
    <row r="146" spans="1:34" x14ac:dyDescent="0.3">
      <c r="A146" s="347">
        <f t="shared" ca="1" si="64"/>
        <v>0.01</v>
      </c>
      <c r="B146" s="304">
        <f t="shared" ca="1" si="65"/>
        <v>1.420000000000001</v>
      </c>
      <c r="D146" s="306">
        <f t="shared" ca="1" si="66"/>
        <v>-4.8859388195458502</v>
      </c>
      <c r="E146" s="307">
        <f t="shared" ca="1" si="67"/>
        <v>-33.321281148765244</v>
      </c>
      <c r="F146" s="304">
        <f t="shared" ca="1" si="68"/>
        <v>33.677591593571584</v>
      </c>
      <c r="G146" s="306">
        <f t="shared" ca="1" si="69"/>
        <v>18.140837837180655</v>
      </c>
      <c r="H146" s="307">
        <f t="shared" ca="1" si="70"/>
        <v>87.196144651175857</v>
      </c>
      <c r="I146" s="304">
        <f t="shared" ca="1" si="71"/>
        <v>89.063222709846229</v>
      </c>
      <c r="J146" s="306">
        <f t="shared" ca="1" si="72"/>
        <v>19.694161311843857</v>
      </c>
      <c r="K146" s="307">
        <f t="shared" ca="1" si="73"/>
        <v>100.35084220043861</v>
      </c>
      <c r="L146" s="304">
        <f t="shared" ca="1" si="58"/>
        <v>102.26510411726112</v>
      </c>
      <c r="M146" s="306">
        <f t="shared" ca="1" si="74"/>
        <v>1.3656760186442083</v>
      </c>
      <c r="N146" s="304">
        <f t="shared" ca="1" si="75"/>
        <v>78.247472050542655</v>
      </c>
      <c r="P146" s="310">
        <f t="shared" ca="1" si="76"/>
        <v>22</v>
      </c>
      <c r="Q146" s="304">
        <f t="shared" ca="1" si="77"/>
        <v>0</v>
      </c>
      <c r="R146" s="306">
        <f t="shared" ca="1" si="78"/>
        <v>0</v>
      </c>
      <c r="S146" s="307">
        <f t="shared" ca="1" si="79"/>
        <v>0.4270000000000001</v>
      </c>
      <c r="T146" s="304">
        <f t="shared" ca="1" si="59"/>
        <v>4.1888700000000014</v>
      </c>
      <c r="U146" s="311">
        <f t="shared" ca="1" si="60"/>
        <v>0</v>
      </c>
      <c r="V146" s="306">
        <f t="shared" ca="1" si="61"/>
        <v>1.2127683944264849</v>
      </c>
      <c r="W146" s="304">
        <f t="shared" ca="1" si="62"/>
        <v>10.175943187950477</v>
      </c>
      <c r="Y146" s="314" t="str">
        <f t="shared" ca="1" si="80"/>
        <v/>
      </c>
      <c r="Z146" s="315" t="str">
        <f t="shared" ca="1" si="81"/>
        <v/>
      </c>
      <c r="AA146" s="316" t="str">
        <f t="shared" ca="1" si="82"/>
        <v/>
      </c>
      <c r="AC146" s="310" t="e">
        <f t="shared" ca="1" si="83"/>
        <v>#N/A</v>
      </c>
      <c r="AD146" s="323" t="e">
        <f t="shared" ca="1" si="84"/>
        <v>#N/A</v>
      </c>
      <c r="AE146" s="324">
        <f t="shared" ca="1" si="63"/>
        <v>100.35084220043861</v>
      </c>
      <c r="AG146" s="306">
        <f t="shared" ca="1" si="85"/>
        <v>-33.618390385426288</v>
      </c>
      <c r="AH146" s="304">
        <f t="shared" ca="1" si="86"/>
        <v>-24.013594887159833</v>
      </c>
    </row>
    <row r="147" spans="1:34" x14ac:dyDescent="0.3">
      <c r="A147" s="347">
        <f t="shared" ca="1" si="64"/>
        <v>0.01</v>
      </c>
      <c r="B147" s="304">
        <f t="shared" ca="1" si="65"/>
        <v>1.430000000000001</v>
      </c>
      <c r="D147" s="306">
        <f t="shared" ca="1" si="66"/>
        <v>-4.8540666357583042</v>
      </c>
      <c r="E147" s="307">
        <f t="shared" ca="1" si="67"/>
        <v>-33.141661983689701</v>
      </c>
      <c r="F147" s="304">
        <f t="shared" ca="1" si="68"/>
        <v>33.495249244415618</v>
      </c>
      <c r="G147" s="306">
        <f t="shared" ca="1" si="69"/>
        <v>18.092297170823073</v>
      </c>
      <c r="H147" s="307">
        <f t="shared" ca="1" si="70"/>
        <v>86.864728031338956</v>
      </c>
      <c r="I147" s="304">
        <f t="shared" ca="1" si="71"/>
        <v>88.728868993557313</v>
      </c>
      <c r="J147" s="306">
        <f t="shared" ca="1" si="72"/>
        <v>19.875326986883877</v>
      </c>
      <c r="K147" s="307">
        <f t="shared" ca="1" si="73"/>
        <v>101.22114656385118</v>
      </c>
      <c r="L147" s="304">
        <f t="shared" ca="1" si="58"/>
        <v>103.15400687581746</v>
      </c>
      <c r="M147" s="306">
        <f t="shared" ca="1" si="74"/>
        <v>1.3654508214368037</v>
      </c>
      <c r="N147" s="304">
        <f t="shared" ca="1" si="75"/>
        <v>78.234569201000255</v>
      </c>
      <c r="P147" s="310">
        <f t="shared" ca="1" si="76"/>
        <v>22</v>
      </c>
      <c r="Q147" s="304">
        <f t="shared" ca="1" si="77"/>
        <v>0</v>
      </c>
      <c r="R147" s="306">
        <f t="shared" ca="1" si="78"/>
        <v>0</v>
      </c>
      <c r="S147" s="307">
        <f t="shared" ca="1" si="79"/>
        <v>0.4270000000000001</v>
      </c>
      <c r="T147" s="304">
        <f t="shared" ca="1" si="59"/>
        <v>4.1888700000000014</v>
      </c>
      <c r="U147" s="311">
        <f t="shared" ca="1" si="60"/>
        <v>0</v>
      </c>
      <c r="V147" s="306">
        <f t="shared" ca="1" si="61"/>
        <v>1.2126628485765492</v>
      </c>
      <c r="W147" s="304">
        <f t="shared" ca="1" si="62"/>
        <v>10.098804284591736</v>
      </c>
      <c r="Y147" s="314" t="str">
        <f t="shared" ca="1" si="80"/>
        <v/>
      </c>
      <c r="Z147" s="315" t="str">
        <f t="shared" ca="1" si="81"/>
        <v/>
      </c>
      <c r="AA147" s="316" t="str">
        <f t="shared" ca="1" si="82"/>
        <v/>
      </c>
      <c r="AC147" s="310" t="e">
        <f t="shared" ca="1" si="83"/>
        <v>#N/A</v>
      </c>
      <c r="AD147" s="323" t="e">
        <f t="shared" ca="1" si="84"/>
        <v>#N/A</v>
      </c>
      <c r="AE147" s="324">
        <f t="shared" ca="1" si="63"/>
        <v>101.22114656385118</v>
      </c>
      <c r="AG147" s="306">
        <f t="shared" ca="1" si="85"/>
        <v>-33.435596617717373</v>
      </c>
      <c r="AH147" s="304">
        <f t="shared" ca="1" si="86"/>
        <v>-23.831248683724763</v>
      </c>
    </row>
    <row r="148" spans="1:34" x14ac:dyDescent="0.3">
      <c r="A148" s="347">
        <f t="shared" ca="1" si="64"/>
        <v>0.01</v>
      </c>
      <c r="B148" s="304">
        <f t="shared" ca="1" si="65"/>
        <v>1.4400000000000011</v>
      </c>
      <c r="D148" s="306">
        <f t="shared" ca="1" si="66"/>
        <v>-4.822484577619397</v>
      </c>
      <c r="E148" s="307">
        <f t="shared" ca="1" si="67"/>
        <v>-32.963710516417429</v>
      </c>
      <c r="F148" s="304">
        <f t="shared" ca="1" si="68"/>
        <v>33.314599930233982</v>
      </c>
      <c r="G148" s="306">
        <f t="shared" ca="1" si="69"/>
        <v>18.04407232504688</v>
      </c>
      <c r="H148" s="307">
        <f t="shared" ca="1" si="70"/>
        <v>86.535090926174774</v>
      </c>
      <c r="I148" s="304">
        <f t="shared" ca="1" si="71"/>
        <v>88.396326324530349</v>
      </c>
      <c r="J148" s="306">
        <f t="shared" ca="1" si="72"/>
        <v>20.056008834363226</v>
      </c>
      <c r="K148" s="307">
        <f t="shared" ca="1" si="73"/>
        <v>102.08814565863875</v>
      </c>
      <c r="L148" s="304">
        <f t="shared" ca="1" si="58"/>
        <v>104.03957407824917</v>
      </c>
      <c r="M148" s="306">
        <f t="shared" ca="1" si="74"/>
        <v>1.3652245323752155</v>
      </c>
      <c r="N148" s="304">
        <f t="shared" ca="1" si="75"/>
        <v>78.22160379282127</v>
      </c>
      <c r="P148" s="310">
        <f t="shared" ca="1" si="76"/>
        <v>22</v>
      </c>
      <c r="Q148" s="304">
        <f t="shared" ca="1" si="77"/>
        <v>0</v>
      </c>
      <c r="R148" s="306">
        <f t="shared" ca="1" si="78"/>
        <v>0</v>
      </c>
      <c r="S148" s="307">
        <f t="shared" ca="1" si="79"/>
        <v>0.4270000000000001</v>
      </c>
      <c r="T148" s="304">
        <f t="shared" ca="1" si="59"/>
        <v>4.1888700000000014</v>
      </c>
      <c r="U148" s="311">
        <f t="shared" ca="1" si="60"/>
        <v>0</v>
      </c>
      <c r="V148" s="306">
        <f t="shared" ca="1" si="61"/>
        <v>1.2125577126589369</v>
      </c>
      <c r="W148" s="304">
        <f t="shared" ca="1" si="62"/>
        <v>10.022379489215599</v>
      </c>
      <c r="Y148" s="314" t="str">
        <f t="shared" ca="1" si="80"/>
        <v/>
      </c>
      <c r="Z148" s="315" t="str">
        <f t="shared" ca="1" si="81"/>
        <v/>
      </c>
      <c r="AA148" s="316" t="str">
        <f t="shared" ca="1" si="82"/>
        <v/>
      </c>
      <c r="AC148" s="310" t="e">
        <f t="shared" ca="1" si="83"/>
        <v>#N/A</v>
      </c>
      <c r="AD148" s="323" t="e">
        <f t="shared" ca="1" si="84"/>
        <v>#N/A</v>
      </c>
      <c r="AE148" s="324">
        <f t="shared" ca="1" si="63"/>
        <v>102.08814565863875</v>
      </c>
      <c r="AG148" s="306">
        <f t="shared" ca="1" si="85"/>
        <v>-33.254493227076267</v>
      </c>
      <c r="AH148" s="304">
        <f t="shared" ca="1" si="86"/>
        <v>-23.650595514266357</v>
      </c>
    </row>
    <row r="149" spans="1:34" x14ac:dyDescent="0.3">
      <c r="A149" s="347">
        <f t="shared" ca="1" si="64"/>
        <v>0.01</v>
      </c>
      <c r="B149" s="304">
        <f t="shared" ca="1" si="65"/>
        <v>1.4500000000000011</v>
      </c>
      <c r="D149" s="306">
        <f t="shared" ca="1" si="66"/>
        <v>-4.7911890840121236</v>
      </c>
      <c r="E149" s="307">
        <f t="shared" ca="1" si="67"/>
        <v>-32.78740640586841</v>
      </c>
      <c r="F149" s="304">
        <f t="shared" ca="1" si="68"/>
        <v>33.135623000968877</v>
      </c>
      <c r="G149" s="306">
        <f t="shared" ca="1" si="69"/>
        <v>17.996160434206757</v>
      </c>
      <c r="H149" s="307">
        <f t="shared" ca="1" si="70"/>
        <v>86.207216862116084</v>
      </c>
      <c r="I149" s="304">
        <f t="shared" ca="1" si="71"/>
        <v>88.065578005743092</v>
      </c>
      <c r="J149" s="306">
        <f t="shared" ca="1" si="72"/>
        <v>20.236209998159495</v>
      </c>
      <c r="K149" s="307">
        <f t="shared" ca="1" si="73"/>
        <v>102.95185719758021</v>
      </c>
      <c r="L149" s="304">
        <f t="shared" ca="1" si="58"/>
        <v>104.92182373329467</v>
      </c>
      <c r="M149" s="306">
        <f t="shared" ca="1" si="74"/>
        <v>1.3649971466673736</v>
      </c>
      <c r="N149" s="304">
        <f t="shared" ca="1" si="75"/>
        <v>78.208575551440333</v>
      </c>
      <c r="P149" s="310">
        <f t="shared" ca="1" si="76"/>
        <v>22</v>
      </c>
      <c r="Q149" s="304">
        <f t="shared" ca="1" si="77"/>
        <v>0</v>
      </c>
      <c r="R149" s="306">
        <f t="shared" ca="1" si="78"/>
        <v>0</v>
      </c>
      <c r="S149" s="307">
        <f t="shared" ca="1" si="79"/>
        <v>0.4270000000000001</v>
      </c>
      <c r="T149" s="304">
        <f t="shared" ca="1" si="59"/>
        <v>4.1888700000000014</v>
      </c>
      <c r="U149" s="311">
        <f t="shared" ca="1" si="60"/>
        <v>0</v>
      </c>
      <c r="V149" s="306">
        <f t="shared" ca="1" si="61"/>
        <v>1.2124529844211034</v>
      </c>
      <c r="W149" s="304">
        <f t="shared" ca="1" si="62"/>
        <v>9.9466601191772828</v>
      </c>
      <c r="Y149" s="314" t="str">
        <f t="shared" ca="1" si="80"/>
        <v/>
      </c>
      <c r="Z149" s="315" t="str">
        <f t="shared" ca="1" si="81"/>
        <v/>
      </c>
      <c r="AA149" s="316" t="str">
        <f t="shared" ca="1" si="82"/>
        <v/>
      </c>
      <c r="AC149" s="310" t="e">
        <f t="shared" ca="1" si="83"/>
        <v>#N/A</v>
      </c>
      <c r="AD149" s="323" t="e">
        <f t="shared" ca="1" si="84"/>
        <v>#N/A</v>
      </c>
      <c r="AE149" s="324">
        <f t="shared" ca="1" si="63"/>
        <v>102.95185719758021</v>
      </c>
      <c r="AG149" s="306">
        <f t="shared" ca="1" si="85"/>
        <v>-33.075059547003086</v>
      </c>
      <c r="AH149" s="304">
        <f t="shared" ca="1" si="86"/>
        <v>-23.471614728842145</v>
      </c>
    </row>
    <row r="150" spans="1:34" x14ac:dyDescent="0.3">
      <c r="A150" s="347">
        <f t="shared" ca="1" si="64"/>
        <v>0.01</v>
      </c>
      <c r="B150" s="304">
        <f t="shared" ca="1" si="65"/>
        <v>1.4600000000000011</v>
      </c>
      <c r="D150" s="306">
        <f t="shared" ca="1" si="66"/>
        <v>-4.7601766482472074</v>
      </c>
      <c r="E150" s="307">
        <f t="shared" ca="1" si="67"/>
        <v>-32.612729622115424</v>
      </c>
      <c r="F150" s="304">
        <f t="shared" ca="1" si="68"/>
        <v>32.958298122441377</v>
      </c>
      <c r="G150" s="306">
        <f t="shared" ca="1" si="69"/>
        <v>17.948558667724285</v>
      </c>
      <c r="H150" s="307">
        <f t="shared" ca="1" si="70"/>
        <v>85.881089565894925</v>
      </c>
      <c r="I150" s="304">
        <f t="shared" ca="1" si="71"/>
        <v>87.7366075436816</v>
      </c>
      <c r="J150" s="306">
        <f t="shared" ca="1" si="72"/>
        <v>20.415933593669152</v>
      </c>
      <c r="K150" s="307">
        <f t="shared" ca="1" si="73"/>
        <v>103.81229872972027</v>
      </c>
      <c r="L150" s="304">
        <f t="shared" ca="1" si="58"/>
        <v>105.80077368360682</v>
      </c>
      <c r="M150" s="306">
        <f t="shared" ca="1" si="74"/>
        <v>1.3647686594862805</v>
      </c>
      <c r="N150" s="304">
        <f t="shared" ca="1" si="75"/>
        <v>78.195484200290849</v>
      </c>
      <c r="P150" s="310">
        <f t="shared" ca="1" si="76"/>
        <v>22</v>
      </c>
      <c r="Q150" s="304">
        <f t="shared" ca="1" si="77"/>
        <v>0</v>
      </c>
      <c r="R150" s="306">
        <f t="shared" ca="1" si="78"/>
        <v>0</v>
      </c>
      <c r="S150" s="307">
        <f t="shared" ca="1" si="79"/>
        <v>0.4270000000000001</v>
      </c>
      <c r="T150" s="304">
        <f t="shared" ca="1" si="59"/>
        <v>4.1888700000000014</v>
      </c>
      <c r="U150" s="311">
        <f t="shared" ca="1" si="60"/>
        <v>0</v>
      </c>
      <c r="V150" s="306">
        <f t="shared" ca="1" si="61"/>
        <v>1.2123486616315113</v>
      </c>
      <c r="W150" s="304">
        <f t="shared" ca="1" si="62"/>
        <v>9.8716376242425365</v>
      </c>
      <c r="Y150" s="314" t="str">
        <f t="shared" ca="1" si="80"/>
        <v/>
      </c>
      <c r="Z150" s="315" t="str">
        <f t="shared" ca="1" si="81"/>
        <v/>
      </c>
      <c r="AA150" s="316" t="str">
        <f t="shared" ca="1" si="82"/>
        <v/>
      </c>
      <c r="AC150" s="310" t="e">
        <f t="shared" ca="1" si="83"/>
        <v>#N/A</v>
      </c>
      <c r="AD150" s="323" t="e">
        <f t="shared" ca="1" si="84"/>
        <v>#N/A</v>
      </c>
      <c r="AE150" s="324">
        <f t="shared" ca="1" si="63"/>
        <v>103.81229872972027</v>
      </c>
      <c r="AG150" s="306">
        <f t="shared" ca="1" si="85"/>
        <v>-32.897275226733321</v>
      </c>
      <c r="AH150" s="304">
        <f t="shared" ca="1" si="86"/>
        <v>-23.294285993389416</v>
      </c>
    </row>
    <row r="151" spans="1:34" x14ac:dyDescent="0.3">
      <c r="A151" s="347">
        <f t="shared" ca="1" si="64"/>
        <v>0.01</v>
      </c>
      <c r="B151" s="304">
        <f t="shared" ca="1" si="65"/>
        <v>1.4700000000000011</v>
      </c>
      <c r="D151" s="306">
        <f t="shared" ca="1" si="66"/>
        <v>-4.7294438170661675</v>
      </c>
      <c r="E151" s="307">
        <f t="shared" ca="1" si="67"/>
        <v>-32.439660440685735</v>
      </c>
      <c r="F151" s="304">
        <f t="shared" ca="1" si="68"/>
        <v>32.782605270566528</v>
      </c>
      <c r="G151" s="306">
        <f t="shared" ca="1" si="69"/>
        <v>17.901264229553622</v>
      </c>
      <c r="H151" s="307">
        <f t="shared" ca="1" si="70"/>
        <v>85.556692961488068</v>
      </c>
      <c r="I151" s="304">
        <f t="shared" ca="1" si="71"/>
        <v>87.409398645240884</v>
      </c>
      <c r="J151" s="306">
        <f t="shared" ca="1" si="72"/>
        <v>20.595182708155541</v>
      </c>
      <c r="K151" s="307">
        <f t="shared" ca="1" si="73"/>
        <v>104.66948764235718</v>
      </c>
      <c r="L151" s="304">
        <f t="shared" ca="1" si="58"/>
        <v>106.67644160776958</v>
      </c>
      <c r="M151" s="306">
        <f t="shared" ca="1" si="74"/>
        <v>1.3645390659697347</v>
      </c>
      <c r="N151" s="304">
        <f t="shared" ca="1" si="75"/>
        <v>78.182329460789219</v>
      </c>
      <c r="P151" s="310">
        <f t="shared" ca="1" si="76"/>
        <v>22</v>
      </c>
      <c r="Q151" s="304">
        <f t="shared" ca="1" si="77"/>
        <v>0</v>
      </c>
      <c r="R151" s="306">
        <f t="shared" ca="1" si="78"/>
        <v>0</v>
      </c>
      <c r="S151" s="307">
        <f t="shared" ca="1" si="79"/>
        <v>0.4270000000000001</v>
      </c>
      <c r="T151" s="304">
        <f t="shared" ca="1" si="59"/>
        <v>4.1888700000000014</v>
      </c>
      <c r="U151" s="311">
        <f t="shared" ca="1" si="60"/>
        <v>0</v>
      </c>
      <c r="V151" s="306">
        <f t="shared" ca="1" si="61"/>
        <v>1.2122447420793763</v>
      </c>
      <c r="W151" s="304">
        <f t="shared" ca="1" si="62"/>
        <v>9.7973035841702369</v>
      </c>
      <c r="Y151" s="314" t="str">
        <f t="shared" ca="1" si="80"/>
        <v/>
      </c>
      <c r="Z151" s="315" t="str">
        <f t="shared" ca="1" si="81"/>
        <v/>
      </c>
      <c r="AA151" s="316" t="str">
        <f t="shared" ca="1" si="82"/>
        <v/>
      </c>
      <c r="AC151" s="310" t="e">
        <f t="shared" ca="1" si="83"/>
        <v>#N/A</v>
      </c>
      <c r="AD151" s="323" t="e">
        <f t="shared" ca="1" si="84"/>
        <v>#N/A</v>
      </c>
      <c r="AE151" s="324">
        <f t="shared" ca="1" si="63"/>
        <v>104.66948764235718</v>
      </c>
      <c r="AG151" s="306">
        <f t="shared" ca="1" si="85"/>
        <v>-32.721120225451585</v>
      </c>
      <c r="AH151" s="304">
        <f t="shared" ca="1" si="86"/>
        <v>-23.118589283940363</v>
      </c>
    </row>
    <row r="152" spans="1:34" x14ac:dyDescent="0.3">
      <c r="A152" s="347">
        <f t="shared" ca="1" si="64"/>
        <v>0.01</v>
      </c>
      <c r="B152" s="304">
        <f t="shared" ca="1" si="65"/>
        <v>1.4800000000000011</v>
      </c>
      <c r="D152" s="306">
        <f t="shared" ca="1" si="66"/>
        <v>-4.6989871896656021</v>
      </c>
      <c r="E152" s="307">
        <f t="shared" ca="1" si="67"/>
        <v>-32.268179436984411</v>
      </c>
      <c r="F152" s="304">
        <f t="shared" ca="1" si="68"/>
        <v>32.608524725691979</v>
      </c>
      <c r="G152" s="306">
        <f t="shared" ca="1" si="69"/>
        <v>17.854274357656966</v>
      </c>
      <c r="H152" s="307">
        <f t="shared" ca="1" si="70"/>
        <v>85.234011167118226</v>
      </c>
      <c r="I152" s="304">
        <f t="shared" ca="1" si="71"/>
        <v>87.083935214681944</v>
      </c>
      <c r="J152" s="306">
        <f t="shared" ca="1" si="72"/>
        <v>20.773960401091593</v>
      </c>
      <c r="K152" s="307">
        <f t="shared" ca="1" si="73"/>
        <v>105.52344116300021</v>
      </c>
      <c r="L152" s="304">
        <f t="shared" ca="1" si="58"/>
        <v>107.54884502228413</v>
      </c>
      <c r="M152" s="306">
        <f t="shared" ca="1" si="74"/>
        <v>1.3643083612200488</v>
      </c>
      <c r="N152" s="304">
        <f t="shared" ca="1" si="75"/>
        <v>78.169111052318598</v>
      </c>
      <c r="P152" s="310">
        <f t="shared" ca="1" si="76"/>
        <v>22</v>
      </c>
      <c r="Q152" s="304">
        <f t="shared" ca="1" si="77"/>
        <v>0</v>
      </c>
      <c r="R152" s="306">
        <f t="shared" ca="1" si="78"/>
        <v>0</v>
      </c>
      <c r="S152" s="307">
        <f t="shared" ca="1" si="79"/>
        <v>0.4270000000000001</v>
      </c>
      <c r="T152" s="304">
        <f t="shared" ca="1" si="59"/>
        <v>4.1888700000000014</v>
      </c>
      <c r="U152" s="311">
        <f t="shared" ca="1" si="60"/>
        <v>0</v>
      </c>
      <c r="V152" s="306">
        <f t="shared" ca="1" si="61"/>
        <v>1.2121412235744111</v>
      </c>
      <c r="W152" s="304">
        <f t="shared" ca="1" si="62"/>
        <v>9.7236497063463148</v>
      </c>
      <c r="Y152" s="314" t="str">
        <f t="shared" ca="1" si="80"/>
        <v/>
      </c>
      <c r="Z152" s="315" t="str">
        <f t="shared" ca="1" si="81"/>
        <v/>
      </c>
      <c r="AA152" s="316" t="str">
        <f t="shared" ca="1" si="82"/>
        <v/>
      </c>
      <c r="AC152" s="310" t="e">
        <f t="shared" ca="1" si="83"/>
        <v>#N/A</v>
      </c>
      <c r="AD152" s="323" t="e">
        <f t="shared" ca="1" si="84"/>
        <v>#N/A</v>
      </c>
      <c r="AE152" s="324">
        <f t="shared" ca="1" si="63"/>
        <v>105.52344116300021</v>
      </c>
      <c r="AG152" s="306">
        <f t="shared" ca="1" si="85"/>
        <v>-32.546574806628797</v>
      </c>
      <c r="AH152" s="304">
        <f t="shared" ca="1" si="86"/>
        <v>-22.944504880960736</v>
      </c>
    </row>
    <row r="153" spans="1:34" x14ac:dyDescent="0.3">
      <c r="A153" s="347">
        <f t="shared" ca="1" si="64"/>
        <v>0.01</v>
      </c>
      <c r="B153" s="304">
        <f t="shared" ca="1" si="65"/>
        <v>1.4900000000000011</v>
      </c>
      <c r="D153" s="306">
        <f t="shared" ca="1" si="66"/>
        <v>-4.6688034167422874</v>
      </c>
      <c r="E153" s="307">
        <f t="shared" ca="1" si="67"/>
        <v>-32.098267480836128</v>
      </c>
      <c r="F153" s="304">
        <f t="shared" ca="1" si="68"/>
        <v>32.436037067056859</v>
      </c>
      <c r="G153" s="306">
        <f t="shared" ca="1" si="69"/>
        <v>17.807586323489542</v>
      </c>
      <c r="H153" s="307">
        <f t="shared" ca="1" si="70"/>
        <v>84.913028492309863</v>
      </c>
      <c r="I153" s="304">
        <f t="shared" ca="1" si="71"/>
        <v>86.760201350644394</v>
      </c>
      <c r="J153" s="306">
        <f t="shared" ca="1" si="72"/>
        <v>20.952269704497326</v>
      </c>
      <c r="K153" s="307">
        <f t="shared" ca="1" si="73"/>
        <v>106.37417636129736</v>
      </c>
      <c r="L153" s="304">
        <f t="shared" ca="1" si="58"/>
        <v>108.41800128352483</v>
      </c>
      <c r="M153" s="306">
        <f t="shared" ca="1" si="74"/>
        <v>1.3640765403037678</v>
      </c>
      <c r="N153" s="304">
        <f t="shared" ca="1" si="75"/>
        <v>78.155828692212836</v>
      </c>
      <c r="P153" s="310">
        <f t="shared" ca="1" si="76"/>
        <v>22</v>
      </c>
      <c r="Q153" s="304">
        <f t="shared" ca="1" si="77"/>
        <v>0</v>
      </c>
      <c r="R153" s="306">
        <f t="shared" ca="1" si="78"/>
        <v>0</v>
      </c>
      <c r="S153" s="307">
        <f t="shared" ca="1" si="79"/>
        <v>0.4270000000000001</v>
      </c>
      <c r="T153" s="304">
        <f t="shared" ca="1" si="59"/>
        <v>4.1888700000000014</v>
      </c>
      <c r="U153" s="311">
        <f t="shared" ca="1" si="60"/>
        <v>0</v>
      </c>
      <c r="V153" s="306">
        <f t="shared" ca="1" si="61"/>
        <v>1.2120381039465795</v>
      </c>
      <c r="W153" s="304">
        <f t="shared" ca="1" si="62"/>
        <v>9.6506678234679217</v>
      </c>
      <c r="Y153" s="314" t="str">
        <f t="shared" ca="1" si="80"/>
        <v/>
      </c>
      <c r="Z153" s="315" t="str">
        <f t="shared" ca="1" si="81"/>
        <v/>
      </c>
      <c r="AA153" s="316" t="str">
        <f t="shared" ca="1" si="82"/>
        <v/>
      </c>
      <c r="AC153" s="310" t="e">
        <f t="shared" ca="1" si="83"/>
        <v>#N/A</v>
      </c>
      <c r="AD153" s="323" t="e">
        <f t="shared" ca="1" si="84"/>
        <v>#N/A</v>
      </c>
      <c r="AE153" s="324">
        <f t="shared" ca="1" si="63"/>
        <v>106.37417636129736</v>
      </c>
      <c r="AG153" s="306">
        <f t="shared" ca="1" si="85"/>
        <v>-32.373619532479623</v>
      </c>
      <c r="AH153" s="304">
        <f t="shared" ca="1" si="86"/>
        <v>-22.772013363808693</v>
      </c>
    </row>
    <row r="154" spans="1:34" x14ac:dyDescent="0.3">
      <c r="A154" s="347">
        <f t="shared" ca="1" si="64"/>
        <v>0.01</v>
      </c>
      <c r="B154" s="304">
        <f t="shared" ca="1" si="65"/>
        <v>1.5000000000000011</v>
      </c>
      <c r="D154" s="306">
        <f t="shared" ca="1" si="66"/>
        <v>-4.6388891995584514</v>
      </c>
      <c r="E154" s="307">
        <f t="shared" ca="1" si="67"/>
        <v>-31.929905731142732</v>
      </c>
      <c r="F154" s="304">
        <f t="shared" ca="1" si="68"/>
        <v>32.265123167368223</v>
      </c>
      <c r="G154" s="306">
        <f t="shared" ca="1" si="69"/>
        <v>17.761197431493958</v>
      </c>
      <c r="H154" s="307">
        <f t="shared" ca="1" si="70"/>
        <v>84.593729434998437</v>
      </c>
      <c r="I154" s="304">
        <f t="shared" ca="1" si="71"/>
        <v>86.438181343213301</v>
      </c>
      <c r="J154" s="306">
        <f t="shared" ca="1" si="72"/>
        <v>21.130113623272244</v>
      </c>
      <c r="K154" s="307">
        <f t="shared" ca="1" si="73"/>
        <v>107.2217101509339</v>
      </c>
      <c r="L154" s="304">
        <f t="shared" ca="1" si="58"/>
        <v>109.28392758966561</v>
      </c>
      <c r="M154" s="306">
        <f t="shared" ca="1" si="74"/>
        <v>1.3638435982513826</v>
      </c>
      <c r="N154" s="304">
        <f t="shared" ca="1" si="75"/>
        <v>78.14248209574005</v>
      </c>
      <c r="P154" s="310">
        <f t="shared" ca="1" si="76"/>
        <v>22</v>
      </c>
      <c r="Q154" s="304">
        <f t="shared" ca="1" si="77"/>
        <v>0</v>
      </c>
      <c r="R154" s="306">
        <f t="shared" ca="1" si="78"/>
        <v>0</v>
      </c>
      <c r="S154" s="307">
        <f t="shared" ca="1" si="79"/>
        <v>0.4270000000000001</v>
      </c>
      <c r="T154" s="304">
        <f t="shared" ca="1" si="59"/>
        <v>4.1888700000000014</v>
      </c>
      <c r="U154" s="311">
        <f t="shared" ca="1" si="60"/>
        <v>0</v>
      </c>
      <c r="V154" s="306">
        <f t="shared" ca="1" si="61"/>
        <v>1.2119353810458473</v>
      </c>
      <c r="W154" s="304">
        <f t="shared" ca="1" si="62"/>
        <v>9.5783498912764831</v>
      </c>
      <c r="Y154" s="314" t="str">
        <f t="shared" ca="1" si="80"/>
        <v/>
      </c>
      <c r="Z154" s="315" t="str">
        <f t="shared" ca="1" si="81"/>
        <v/>
      </c>
      <c r="AA154" s="316" t="str">
        <f t="shared" ca="1" si="82"/>
        <v/>
      </c>
      <c r="AC154" s="310" t="e">
        <f t="shared" ca="1" si="83"/>
        <v>#N/A</v>
      </c>
      <c r="AD154" s="323" t="e">
        <f t="shared" ca="1" si="84"/>
        <v>#N/A</v>
      </c>
      <c r="AE154" s="324">
        <f t="shared" ca="1" si="63"/>
        <v>107.2217101509339</v>
      </c>
      <c r="AG154" s="306">
        <f t="shared" ca="1" si="85"/>
        <v>-32.20223525853747</v>
      </c>
      <c r="AH154" s="304">
        <f t="shared" ca="1" si="86"/>
        <v>-22.601095605311286</v>
      </c>
    </row>
    <row r="155" spans="1:34" x14ac:dyDescent="0.3">
      <c r="A155" s="347">
        <f t="shared" ca="1" si="64"/>
        <v>0.01</v>
      </c>
      <c r="B155" s="304">
        <f t="shared" ca="1" si="65"/>
        <v>1.5100000000000011</v>
      </c>
      <c r="D155" s="306">
        <f t="shared" ca="1" si="66"/>
        <v>-4.6092412890268326</v>
      </c>
      <c r="E155" s="307">
        <f t="shared" ca="1" si="67"/>
        <v>-31.763075630653709</v>
      </c>
      <c r="F155" s="304">
        <f t="shared" ca="1" si="68"/>
        <v>32.095764187492051</v>
      </c>
      <c r="G155" s="306">
        <f t="shared" ca="1" si="69"/>
        <v>17.71510501860369</v>
      </c>
      <c r="H155" s="307">
        <f t="shared" ca="1" si="70"/>
        <v>84.276098678691895</v>
      </c>
      <c r="I155" s="304">
        <f t="shared" ca="1" si="71"/>
        <v>86.117859671039042</v>
      </c>
      <c r="J155" s="306">
        <f t="shared" ca="1" si="72"/>
        <v>21.307495135522732</v>
      </c>
      <c r="K155" s="307">
        <f t="shared" ca="1" si="73"/>
        <v>108.06605929150236</v>
      </c>
      <c r="L155" s="304">
        <f t="shared" ca="1" si="58"/>
        <v>110.14664098257752</v>
      </c>
      <c r="M155" s="306">
        <f t="shared" ca="1" si="74"/>
        <v>1.363609530057041</v>
      </c>
      <c r="N155" s="304">
        <f t="shared" ca="1" si="75"/>
        <v>78.129070976086027</v>
      </c>
      <c r="P155" s="310">
        <f t="shared" ca="1" si="76"/>
        <v>22</v>
      </c>
      <c r="Q155" s="304">
        <f t="shared" ca="1" si="77"/>
        <v>0</v>
      </c>
      <c r="R155" s="306">
        <f t="shared" ca="1" si="78"/>
        <v>0</v>
      </c>
      <c r="S155" s="307">
        <f t="shared" ca="1" si="79"/>
        <v>0.4270000000000001</v>
      </c>
      <c r="T155" s="304">
        <f t="shared" ca="1" si="59"/>
        <v>4.1888700000000014</v>
      </c>
      <c r="U155" s="311">
        <f t="shared" ca="1" si="60"/>
        <v>0</v>
      </c>
      <c r="V155" s="306">
        <f t="shared" ca="1" si="61"/>
        <v>1.211833052741945</v>
      </c>
      <c r="W155" s="304">
        <f t="shared" ca="1" si="62"/>
        <v>9.5066879863385356</v>
      </c>
      <c r="Y155" s="314" t="str">
        <f t="shared" ca="1" si="80"/>
        <v/>
      </c>
      <c r="Z155" s="315" t="str">
        <f t="shared" ca="1" si="81"/>
        <v/>
      </c>
      <c r="AA155" s="316" t="str">
        <f t="shared" ca="1" si="82"/>
        <v/>
      </c>
      <c r="AC155" s="310" t="e">
        <f t="shared" ca="1" si="83"/>
        <v>#N/A</v>
      </c>
      <c r="AD155" s="323" t="e">
        <f t="shared" ca="1" si="84"/>
        <v>#N/A</v>
      </c>
      <c r="AE155" s="324">
        <f t="shared" ca="1" si="63"/>
        <v>108.06605929150236</v>
      </c>
      <c r="AG155" s="306">
        <f t="shared" ca="1" si="85"/>
        <v>-32.032403128343994</v>
      </c>
      <c r="AH155" s="304">
        <f t="shared" ca="1" si="86"/>
        <v>-22.431732766455458</v>
      </c>
    </row>
    <row r="156" spans="1:34" x14ac:dyDescent="0.3">
      <c r="A156" s="347">
        <f t="shared" ca="1" si="64"/>
        <v>0.01</v>
      </c>
      <c r="B156" s="304">
        <f t="shared" ca="1" si="65"/>
        <v>1.5200000000000011</v>
      </c>
      <c r="D156" s="306">
        <f t="shared" ca="1" si="66"/>
        <v>-4.5798564848150294</v>
      </c>
      <c r="E156" s="307">
        <f t="shared" ca="1" si="67"/>
        <v>-31.597758900846813</v>
      </c>
      <c r="F156" s="304">
        <f t="shared" ca="1" si="68"/>
        <v>31.927941571256145</v>
      </c>
      <c r="G156" s="306">
        <f t="shared" ca="1" si="69"/>
        <v>17.669306453755539</v>
      </c>
      <c r="H156" s="307">
        <f t="shared" ca="1" si="70"/>
        <v>83.960121089683426</v>
      </c>
      <c r="I156" s="304">
        <f t="shared" ca="1" si="71"/>
        <v>85.799220998509256</v>
      </c>
      <c r="J156" s="306">
        <f t="shared" ca="1" si="72"/>
        <v>21.484417192884528</v>
      </c>
      <c r="K156" s="307">
        <f t="shared" ca="1" si="73"/>
        <v>108.90724039034423</v>
      </c>
      <c r="L156" s="304">
        <f t="shared" ca="1" si="58"/>
        <v>111.0061583496976</v>
      </c>
      <c r="M156" s="306">
        <f t="shared" ca="1" si="74"/>
        <v>1.3633743306782555</v>
      </c>
      <c r="N156" s="304">
        <f t="shared" ca="1" si="75"/>
        <v>78.11559504433751</v>
      </c>
      <c r="P156" s="310">
        <f t="shared" ca="1" si="76"/>
        <v>22</v>
      </c>
      <c r="Q156" s="304">
        <f t="shared" ca="1" si="77"/>
        <v>0</v>
      </c>
      <c r="R156" s="306">
        <f t="shared" ca="1" si="78"/>
        <v>0</v>
      </c>
      <c r="S156" s="307">
        <f t="shared" ca="1" si="79"/>
        <v>0.4270000000000001</v>
      </c>
      <c r="T156" s="304">
        <f t="shared" ca="1" si="59"/>
        <v>4.1888700000000014</v>
      </c>
      <c r="U156" s="311">
        <f t="shared" ca="1" si="60"/>
        <v>0</v>
      </c>
      <c r="V156" s="306">
        <f t="shared" ca="1" si="61"/>
        <v>1.2117311169241256</v>
      </c>
      <c r="W156" s="304">
        <f t="shared" ca="1" si="62"/>
        <v>9.435674303873169</v>
      </c>
      <c r="Y156" s="314" t="str">
        <f t="shared" ca="1" si="80"/>
        <v/>
      </c>
      <c r="Z156" s="315" t="str">
        <f t="shared" ca="1" si="81"/>
        <v/>
      </c>
      <c r="AA156" s="316" t="str">
        <f t="shared" ca="1" si="82"/>
        <v/>
      </c>
      <c r="AC156" s="310" t="e">
        <f t="shared" ca="1" si="83"/>
        <v>#N/A</v>
      </c>
      <c r="AD156" s="323" t="e">
        <f t="shared" ca="1" si="84"/>
        <v>#N/A</v>
      </c>
      <c r="AE156" s="324">
        <f t="shared" ca="1" si="63"/>
        <v>108.90724039034423</v>
      </c>
      <c r="AG156" s="306">
        <f t="shared" ca="1" si="85"/>
        <v>-31.864104568250525</v>
      </c>
      <c r="AH156" s="304">
        <f t="shared" ca="1" si="86"/>
        <v>-22.263906291190946</v>
      </c>
    </row>
    <row r="157" spans="1:34" x14ac:dyDescent="0.3">
      <c r="A157" s="347">
        <f t="shared" ca="1" si="64"/>
        <v>0.01</v>
      </c>
      <c r="B157" s="304">
        <f t="shared" ca="1" si="65"/>
        <v>1.5300000000000011</v>
      </c>
      <c r="D157" s="306">
        <f t="shared" ca="1" si="66"/>
        <v>-4.5507316344686437</v>
      </c>
      <c r="E157" s="307">
        <f t="shared" ca="1" si="67"/>
        <v>-31.433937536916225</v>
      </c>
      <c r="F157" s="304">
        <f t="shared" ca="1" si="68"/>
        <v>31.761637040362146</v>
      </c>
      <c r="G157" s="306">
        <f t="shared" ca="1" si="69"/>
        <v>17.623799137410852</v>
      </c>
      <c r="H157" s="307">
        <f t="shared" ca="1" si="70"/>
        <v>83.645781714314268</v>
      </c>
      <c r="I157" s="304">
        <f t="shared" ca="1" si="71"/>
        <v>85.482250172971661</v>
      </c>
      <c r="J157" s="306">
        <f t="shared" ca="1" si="72"/>
        <v>21.660882720840359</v>
      </c>
      <c r="K157" s="307">
        <f t="shared" ca="1" si="73"/>
        <v>109.74526990436422</v>
      </c>
      <c r="L157" s="304">
        <f t="shared" ca="1" si="58"/>
        <v>111.86249642586988</v>
      </c>
      <c r="M157" s="306">
        <f t="shared" ca="1" si="74"/>
        <v>1.3631379950356093</v>
      </c>
      <c r="N157" s="304">
        <f t="shared" ca="1" si="75"/>
        <v>78.102054009465377</v>
      </c>
      <c r="P157" s="310">
        <f t="shared" ca="1" si="76"/>
        <v>22</v>
      </c>
      <c r="Q157" s="304">
        <f t="shared" ca="1" si="77"/>
        <v>0</v>
      </c>
      <c r="R157" s="306">
        <f t="shared" ca="1" si="78"/>
        <v>0</v>
      </c>
      <c r="S157" s="307">
        <f t="shared" ca="1" si="79"/>
        <v>0.4270000000000001</v>
      </c>
      <c r="T157" s="304">
        <f t="shared" ca="1" si="59"/>
        <v>4.1888700000000014</v>
      </c>
      <c r="U157" s="311">
        <f t="shared" ca="1" si="60"/>
        <v>0</v>
      </c>
      <c r="V157" s="306">
        <f t="shared" ca="1" si="61"/>
        <v>1.2116295715009338</v>
      </c>
      <c r="W157" s="304">
        <f t="shared" ca="1" si="62"/>
        <v>9.3653011556249837</v>
      </c>
      <c r="Y157" s="314" t="str">
        <f t="shared" ca="1" si="80"/>
        <v/>
      </c>
      <c r="Z157" s="315" t="str">
        <f t="shared" ca="1" si="81"/>
        <v/>
      </c>
      <c r="AA157" s="316" t="str">
        <f t="shared" ca="1" si="82"/>
        <v/>
      </c>
      <c r="AC157" s="310" t="e">
        <f t="shared" ca="1" si="83"/>
        <v>#N/A</v>
      </c>
      <c r="AD157" s="323" t="e">
        <f t="shared" ca="1" si="84"/>
        <v>#N/A</v>
      </c>
      <c r="AE157" s="324">
        <f t="shared" ca="1" si="63"/>
        <v>109.74526990436422</v>
      </c>
      <c r="AG157" s="306">
        <f t="shared" ca="1" si="85"/>
        <v>-31.697321282328545</v>
      </c>
      <c r="AH157" s="304">
        <f t="shared" ca="1" si="86"/>
        <v>-22.097597901342311</v>
      </c>
    </row>
    <row r="158" spans="1:34" x14ac:dyDescent="0.3">
      <c r="A158" s="347">
        <f t="shared" ca="1" si="64"/>
        <v>0.01</v>
      </c>
      <c r="B158" s="304">
        <f t="shared" ca="1" si="65"/>
        <v>1.5400000000000011</v>
      </c>
      <c r="D158" s="306">
        <f t="shared" ca="1" si="66"/>
        <v>-4.5218636325527894</v>
      </c>
      <c r="E158" s="307">
        <f t="shared" ca="1" si="67"/>
        <v>-31.271593802865716</v>
      </c>
      <c r="F158" s="304">
        <f t="shared" ca="1" si="68"/>
        <v>31.596832589404166</v>
      </c>
      <c r="G158" s="306">
        <f t="shared" ca="1" si="69"/>
        <v>17.578580501085323</v>
      </c>
      <c r="H158" s="307">
        <f t="shared" ca="1" si="70"/>
        <v>83.333065776285608</v>
      </c>
      <c r="I158" s="304">
        <f t="shared" ca="1" si="71"/>
        <v>85.166932222006679</v>
      </c>
      <c r="J158" s="306">
        <f t="shared" ca="1" si="72"/>
        <v>21.83689461903284</v>
      </c>
      <c r="K158" s="307">
        <f t="shared" ca="1" si="73"/>
        <v>110.58016414181722</v>
      </c>
      <c r="L158" s="304">
        <f t="shared" ca="1" si="58"/>
        <v>112.71567179515893</v>
      </c>
      <c r="M158" s="306">
        <f t="shared" ca="1" si="74"/>
        <v>1.3629005180124576</v>
      </c>
      <c r="N158" s="304">
        <f t="shared" ca="1" si="75"/>
        <v>78.088447578307452</v>
      </c>
      <c r="P158" s="310">
        <f t="shared" ca="1" si="76"/>
        <v>22</v>
      </c>
      <c r="Q158" s="304">
        <f t="shared" ca="1" si="77"/>
        <v>0</v>
      </c>
      <c r="R158" s="306">
        <f t="shared" ca="1" si="78"/>
        <v>0</v>
      </c>
      <c r="S158" s="307">
        <f t="shared" ca="1" si="79"/>
        <v>0.4270000000000001</v>
      </c>
      <c r="T158" s="304">
        <f t="shared" ca="1" si="59"/>
        <v>4.1888700000000014</v>
      </c>
      <c r="U158" s="311">
        <f t="shared" ca="1" si="60"/>
        <v>0</v>
      </c>
      <c r="V158" s="306">
        <f t="shared" ca="1" si="61"/>
        <v>1.2115284143999723</v>
      </c>
      <c r="W158" s="304">
        <f t="shared" ca="1" si="62"/>
        <v>9.2955609677814586</v>
      </c>
      <c r="Y158" s="314" t="str">
        <f t="shared" ca="1" si="80"/>
        <v/>
      </c>
      <c r="Z158" s="315" t="str">
        <f t="shared" ca="1" si="81"/>
        <v/>
      </c>
      <c r="AA158" s="316" t="str">
        <f t="shared" ca="1" si="82"/>
        <v/>
      </c>
      <c r="AC158" s="310" t="e">
        <f t="shared" ca="1" si="83"/>
        <v>#N/A</v>
      </c>
      <c r="AD158" s="323" t="e">
        <f t="shared" ca="1" si="84"/>
        <v>#N/A</v>
      </c>
      <c r="AE158" s="324">
        <f t="shared" ca="1" si="63"/>
        <v>110.58016414181722</v>
      </c>
      <c r="AG158" s="306">
        <f t="shared" ca="1" si="85"/>
        <v>-31.532035247386837</v>
      </c>
      <c r="AH158" s="304">
        <f t="shared" ca="1" si="86"/>
        <v>-21.932789591627593</v>
      </c>
    </row>
    <row r="159" spans="1:34" x14ac:dyDescent="0.3">
      <c r="A159" s="347">
        <f t="shared" ca="1" si="64"/>
        <v>0.01</v>
      </c>
      <c r="B159" s="304">
        <f t="shared" ca="1" si="65"/>
        <v>1.5500000000000012</v>
      </c>
      <c r="D159" s="306">
        <f t="shared" ca="1" si="66"/>
        <v>-4.4932494198115389</v>
      </c>
      <c r="E159" s="307">
        <f t="shared" ca="1" si="67"/>
        <v>-31.110710226704256</v>
      </c>
      <c r="F159" s="304">
        <f t="shared" ca="1" si="68"/>
        <v>31.433510480991423</v>
      </c>
      <c r="G159" s="306">
        <f t="shared" ca="1" si="69"/>
        <v>17.533648006887208</v>
      </c>
      <c r="H159" s="307">
        <f t="shared" ca="1" si="70"/>
        <v>83.021958674018563</v>
      </c>
      <c r="I159" s="304">
        <f t="shared" ca="1" si="71"/>
        <v>84.853252350748846</v>
      </c>
      <c r="J159" s="306">
        <f t="shared" ca="1" si="72"/>
        <v>22.012455761572703</v>
      </c>
      <c r="K159" s="307">
        <f t="shared" ca="1" si="73"/>
        <v>111.41193926406874</v>
      </c>
      <c r="L159" s="304">
        <f t="shared" ca="1" si="58"/>
        <v>113.56570089263631</v>
      </c>
      <c r="M159" s="306">
        <f t="shared" ca="1" si="74"/>
        <v>1.3626618944546272</v>
      </c>
      <c r="N159" s="304">
        <f t="shared" ca="1" si="75"/>
        <v>78.074775455551375</v>
      </c>
      <c r="P159" s="310">
        <f t="shared" ca="1" si="76"/>
        <v>22</v>
      </c>
      <c r="Q159" s="304">
        <f t="shared" ca="1" si="77"/>
        <v>0</v>
      </c>
      <c r="R159" s="306">
        <f t="shared" ca="1" si="78"/>
        <v>0</v>
      </c>
      <c r="S159" s="307">
        <f t="shared" ca="1" si="79"/>
        <v>0.4270000000000001</v>
      </c>
      <c r="T159" s="304">
        <f t="shared" ca="1" si="59"/>
        <v>4.1888700000000014</v>
      </c>
      <c r="U159" s="311">
        <f t="shared" ca="1" si="60"/>
        <v>0</v>
      </c>
      <c r="V159" s="306">
        <f t="shared" ca="1" si="61"/>
        <v>1.2114276435676772</v>
      </c>
      <c r="W159" s="304">
        <f t="shared" ca="1" si="62"/>
        <v>9.2264462789336577</v>
      </c>
      <c r="Y159" s="314" t="str">
        <f t="shared" ca="1" si="80"/>
        <v/>
      </c>
      <c r="Z159" s="315" t="str">
        <f t="shared" ca="1" si="81"/>
        <v/>
      </c>
      <c r="AA159" s="316" t="str">
        <f t="shared" ca="1" si="82"/>
        <v/>
      </c>
      <c r="AC159" s="310" t="e">
        <f t="shared" ca="1" si="83"/>
        <v>#N/A</v>
      </c>
      <c r="AD159" s="323" t="e">
        <f t="shared" ca="1" si="84"/>
        <v>#N/A</v>
      </c>
      <c r="AE159" s="324">
        <f t="shared" ca="1" si="63"/>
        <v>111.41193926406874</v>
      </c>
      <c r="AG159" s="306">
        <f t="shared" ca="1" si="85"/>
        <v>-31.368228708092509</v>
      </c>
      <c r="AH159" s="304">
        <f t="shared" ca="1" si="86"/>
        <v>-21.769463624780929</v>
      </c>
    </row>
    <row r="160" spans="1:34" x14ac:dyDescent="0.3">
      <c r="A160" s="347">
        <f t="shared" ca="1" si="64"/>
        <v>0.01</v>
      </c>
      <c r="B160" s="304">
        <f t="shared" ca="1" si="65"/>
        <v>1.5600000000000012</v>
      </c>
      <c r="D160" s="306">
        <f t="shared" ca="1" si="66"/>
        <v>-4.4648859823448594</v>
      </c>
      <c r="E160" s="307">
        <f t="shared" ca="1" si="67"/>
        <v>-30.951269595741586</v>
      </c>
      <c r="F160" s="304">
        <f t="shared" ca="1" si="68"/>
        <v>31.271653240972359</v>
      </c>
      <c r="G160" s="306">
        <f t="shared" ca="1" si="69"/>
        <v>17.488999147063758</v>
      </c>
      <c r="H160" s="307">
        <f t="shared" ca="1" si="70"/>
        <v>82.712445978061155</v>
      </c>
      <c r="I160" s="304">
        <f t="shared" ca="1" si="71"/>
        <v>84.541195939256042</v>
      </c>
      <c r="J160" s="306">
        <f t="shared" ca="1" si="72"/>
        <v>22.187568997342456</v>
      </c>
      <c r="K160" s="307">
        <f t="shared" ca="1" si="73"/>
        <v>112.24061128732913</v>
      </c>
      <c r="L160" s="304">
        <f t="shared" ca="1" si="58"/>
        <v>114.41260000614071</v>
      </c>
      <c r="M160" s="306">
        <f t="shared" ca="1" si="74"/>
        <v>1.3624221191701127</v>
      </c>
      <c r="N160" s="304">
        <f t="shared" ca="1" si="75"/>
        <v>78.061037343717146</v>
      </c>
      <c r="P160" s="310">
        <f t="shared" ca="1" si="76"/>
        <v>22</v>
      </c>
      <c r="Q160" s="304">
        <f t="shared" ca="1" si="77"/>
        <v>0</v>
      </c>
      <c r="R160" s="306">
        <f t="shared" ca="1" si="78"/>
        <v>0</v>
      </c>
      <c r="S160" s="307">
        <f t="shared" ca="1" si="79"/>
        <v>0.4270000000000001</v>
      </c>
      <c r="T160" s="304">
        <f t="shared" ca="1" si="59"/>
        <v>4.1888700000000014</v>
      </c>
      <c r="U160" s="311">
        <f t="shared" ca="1" si="60"/>
        <v>0</v>
      </c>
      <c r="V160" s="306">
        <f t="shared" ca="1" si="61"/>
        <v>1.2113272569690905</v>
      </c>
      <c r="W160" s="304">
        <f t="shared" ca="1" si="62"/>
        <v>9.1579497380792727</v>
      </c>
      <c r="Y160" s="314" t="str">
        <f t="shared" ca="1" si="80"/>
        <v/>
      </c>
      <c r="Z160" s="315" t="str">
        <f t="shared" ca="1" si="81"/>
        <v/>
      </c>
      <c r="AA160" s="316" t="str">
        <f t="shared" ca="1" si="82"/>
        <v/>
      </c>
      <c r="AC160" s="310" t="e">
        <f t="shared" ca="1" si="83"/>
        <v>#N/A</v>
      </c>
      <c r="AD160" s="323" t="e">
        <f t="shared" ca="1" si="84"/>
        <v>#N/A</v>
      </c>
      <c r="AE160" s="324">
        <f t="shared" ca="1" si="63"/>
        <v>112.24061128732913</v>
      </c>
      <c r="AG160" s="306">
        <f t="shared" ca="1" si="85"/>
        <v>-31.20588417219362</v>
      </c>
      <c r="AH160" s="304">
        <f t="shared" ca="1" si="86"/>
        <v>-21.607602526776709</v>
      </c>
    </row>
    <row r="161" spans="1:34" x14ac:dyDescent="0.3">
      <c r="A161" s="347">
        <f t="shared" ca="1" si="64"/>
        <v>0.01</v>
      </c>
      <c r="B161" s="304">
        <f t="shared" ca="1" si="65"/>
        <v>1.5700000000000012</v>
      </c>
      <c r="D161" s="306">
        <f t="shared" ca="1" si="66"/>
        <v>-4.4367703508026226</v>
      </c>
      <c r="E161" s="307">
        <f t="shared" ca="1" si="67"/>
        <v>-30.793254951981481</v>
      </c>
      <c r="F161" s="304">
        <f t="shared" ca="1" si="68"/>
        <v>31.111243653757931</v>
      </c>
      <c r="G161" s="306">
        <f t="shared" ca="1" si="69"/>
        <v>17.444631443555732</v>
      </c>
      <c r="H161" s="307">
        <f t="shared" ca="1" si="70"/>
        <v>82.404513428541335</v>
      </c>
      <c r="I161" s="304">
        <f t="shared" ca="1" si="71"/>
        <v>84.230748539925386</v>
      </c>
      <c r="J161" s="306">
        <f t="shared" ca="1" si="72"/>
        <v>22.362237150295552</v>
      </c>
      <c r="K161" s="307">
        <f t="shared" ca="1" si="73"/>
        <v>113.06619608436215</v>
      </c>
      <c r="L161" s="304">
        <f t="shared" ca="1" si="58"/>
        <v>115.25638527801178</v>
      </c>
      <c r="M161" s="306">
        <f t="shared" ca="1" si="74"/>
        <v>1.3621811869287681</v>
      </c>
      <c r="N161" s="304">
        <f t="shared" ca="1" si="75"/>
        <v>78.047232943139477</v>
      </c>
      <c r="P161" s="310">
        <f t="shared" ca="1" si="76"/>
        <v>22</v>
      </c>
      <c r="Q161" s="304">
        <f t="shared" ca="1" si="77"/>
        <v>0</v>
      </c>
      <c r="R161" s="306">
        <f t="shared" ca="1" si="78"/>
        <v>0</v>
      </c>
      <c r="S161" s="307">
        <f t="shared" ca="1" si="79"/>
        <v>0.4270000000000001</v>
      </c>
      <c r="T161" s="304">
        <f t="shared" ca="1" si="59"/>
        <v>4.1888700000000014</v>
      </c>
      <c r="U161" s="311">
        <f t="shared" ca="1" si="60"/>
        <v>0</v>
      </c>
      <c r="V161" s="306">
        <f t="shared" ca="1" si="61"/>
        <v>1.2112272525876431</v>
      </c>
      <c r="W161" s="304">
        <f t="shared" ca="1" si="62"/>
        <v>9.0900641026669931</v>
      </c>
      <c r="Y161" s="314" t="str">
        <f t="shared" ca="1" si="80"/>
        <v/>
      </c>
      <c r="Z161" s="315" t="str">
        <f t="shared" ca="1" si="81"/>
        <v/>
      </c>
      <c r="AA161" s="316" t="str">
        <f t="shared" ca="1" si="82"/>
        <v/>
      </c>
      <c r="AC161" s="310" t="e">
        <f t="shared" ca="1" si="83"/>
        <v>#N/A</v>
      </c>
      <c r="AD161" s="323" t="e">
        <f t="shared" ca="1" si="84"/>
        <v>#N/A</v>
      </c>
      <c r="AE161" s="324">
        <f t="shared" ca="1" si="63"/>
        <v>113.06619608436215</v>
      </c>
      <c r="AG161" s="306">
        <f t="shared" ca="1" si="85"/>
        <v>-31.044984405840825</v>
      </c>
      <c r="AH161" s="304">
        <f t="shared" ca="1" si="86"/>
        <v>-21.447189082152857</v>
      </c>
    </row>
    <row r="162" spans="1:34" x14ac:dyDescent="0.3">
      <c r="A162" s="347">
        <f t="shared" ca="1" si="64"/>
        <v>0.01</v>
      </c>
      <c r="B162" s="304">
        <f t="shared" ca="1" si="65"/>
        <v>1.5800000000000012</v>
      </c>
      <c r="D162" s="306">
        <f t="shared" ca="1" si="66"/>
        <v>-4.4088995995953342</v>
      </c>
      <c r="E162" s="307">
        <f t="shared" ca="1" si="67"/>
        <v>-30.636649587610329</v>
      </c>
      <c r="F162" s="304">
        <f t="shared" ca="1" si="68"/>
        <v>30.952264757741656</v>
      </c>
      <c r="G162" s="306">
        <f t="shared" ca="1" si="69"/>
        <v>17.400542447559779</v>
      </c>
      <c r="H162" s="307">
        <f t="shared" ca="1" si="70"/>
        <v>82.09814693266523</v>
      </c>
      <c r="I162" s="304">
        <f t="shared" ca="1" si="71"/>
        <v>83.921895874955183</v>
      </c>
      <c r="J162" s="306">
        <f t="shared" ca="1" si="72"/>
        <v>22.536463019751128</v>
      </c>
      <c r="K162" s="307">
        <f t="shared" ca="1" si="73"/>
        <v>113.88870938616817</v>
      </c>
      <c r="L162" s="304">
        <f t="shared" ca="1" si="58"/>
        <v>116.0970727067986</v>
      </c>
      <c r="M162" s="306">
        <f t="shared" ca="1" si="74"/>
        <v>1.3619390924619987</v>
      </c>
      <c r="N162" s="304">
        <f t="shared" ca="1" si="75"/>
        <v>78.033361951950113</v>
      </c>
      <c r="P162" s="310">
        <f t="shared" ca="1" si="76"/>
        <v>22</v>
      </c>
      <c r="Q162" s="304">
        <f t="shared" ca="1" si="77"/>
        <v>0</v>
      </c>
      <c r="R162" s="306">
        <f t="shared" ca="1" si="78"/>
        <v>0</v>
      </c>
      <c r="S162" s="307">
        <f t="shared" ca="1" si="79"/>
        <v>0.4270000000000001</v>
      </c>
      <c r="T162" s="304">
        <f t="shared" ca="1" si="59"/>
        <v>4.1888700000000014</v>
      </c>
      <c r="U162" s="311">
        <f t="shared" ca="1" si="60"/>
        <v>0</v>
      </c>
      <c r="V162" s="306">
        <f t="shared" ca="1" si="61"/>
        <v>1.211127628424935</v>
      </c>
      <c r="W162" s="304">
        <f t="shared" ca="1" si="62"/>
        <v>9.0227822366812305</v>
      </c>
      <c r="Y162" s="314" t="str">
        <f t="shared" ca="1" si="80"/>
        <v/>
      </c>
      <c r="Z162" s="315" t="str">
        <f t="shared" ca="1" si="81"/>
        <v/>
      </c>
      <c r="AA162" s="316" t="str">
        <f t="shared" ca="1" si="82"/>
        <v/>
      </c>
      <c r="AC162" s="310" t="e">
        <f t="shared" ca="1" si="83"/>
        <v>#N/A</v>
      </c>
      <c r="AD162" s="323" t="e">
        <f t="shared" ca="1" si="84"/>
        <v>#N/A</v>
      </c>
      <c r="AE162" s="324">
        <f t="shared" ca="1" si="63"/>
        <v>113.88870938616817</v>
      </c>
      <c r="AG162" s="306">
        <f t="shared" ca="1" si="85"/>
        <v>-30.88551242900585</v>
      </c>
      <c r="AH162" s="304">
        <f t="shared" ca="1" si="86"/>
        <v>-21.288206329430892</v>
      </c>
    </row>
    <row r="163" spans="1:34" x14ac:dyDescent="0.3">
      <c r="A163" s="347">
        <f t="shared" ca="1" si="64"/>
        <v>0.01</v>
      </c>
      <c r="B163" s="304">
        <f t="shared" ca="1" si="65"/>
        <v>1.5900000000000012</v>
      </c>
      <c r="D163" s="306">
        <f t="shared" ca="1" si="66"/>
        <v>-4.3812708461210788</v>
      </c>
      <c r="E163" s="307">
        <f t="shared" ca="1" si="67"/>
        <v>-30.481437040578804</v>
      </c>
      <c r="F163" s="304">
        <f t="shared" ca="1" si="68"/>
        <v>30.794699840814168</v>
      </c>
      <c r="G163" s="306">
        <f t="shared" ca="1" si="69"/>
        <v>17.356729739098569</v>
      </c>
      <c r="H163" s="307">
        <f t="shared" ca="1" si="70"/>
        <v>81.793332562259437</v>
      </c>
      <c r="I163" s="304">
        <f t="shared" ca="1" si="71"/>
        <v>83.614623833851439</v>
      </c>
      <c r="J163" s="306">
        <f t="shared" ca="1" si="72"/>
        <v>22.71024938068442</v>
      </c>
      <c r="K163" s="307">
        <f t="shared" ca="1" si="73"/>
        <v>114.7081667836428</v>
      </c>
      <c r="L163" s="304">
        <f t="shared" ca="1" si="58"/>
        <v>116.93467814894301</v>
      </c>
      <c r="M163" s="306">
        <f t="shared" ca="1" si="74"/>
        <v>1.3616958304624458</v>
      </c>
      <c r="N163" s="304">
        <f t="shared" ca="1" si="75"/>
        <v>78.019424066059827</v>
      </c>
      <c r="P163" s="310">
        <f t="shared" ca="1" si="76"/>
        <v>22</v>
      </c>
      <c r="Q163" s="304">
        <f t="shared" ca="1" si="77"/>
        <v>0</v>
      </c>
      <c r="R163" s="306">
        <f t="shared" ca="1" si="78"/>
        <v>0</v>
      </c>
      <c r="S163" s="307">
        <f t="shared" ca="1" si="79"/>
        <v>0.4270000000000001</v>
      </c>
      <c r="T163" s="304">
        <f t="shared" ca="1" si="59"/>
        <v>4.1888700000000014</v>
      </c>
      <c r="U163" s="311">
        <f t="shared" ca="1" si="60"/>
        <v>0</v>
      </c>
      <c r="V163" s="306">
        <f t="shared" ca="1" si="61"/>
        <v>1.2110283825005224</v>
      </c>
      <c r="W163" s="304">
        <f t="shared" ca="1" si="62"/>
        <v>8.9560971087662224</v>
      </c>
      <c r="Y163" s="314" t="str">
        <f t="shared" ca="1" si="80"/>
        <v/>
      </c>
      <c r="Z163" s="315" t="str">
        <f t="shared" ca="1" si="81"/>
        <v/>
      </c>
      <c r="AA163" s="316" t="str">
        <f t="shared" ca="1" si="82"/>
        <v/>
      </c>
      <c r="AC163" s="310" t="e">
        <f t="shared" ca="1" si="83"/>
        <v>#N/A</v>
      </c>
      <c r="AD163" s="323" t="e">
        <f t="shared" ca="1" si="84"/>
        <v>#N/A</v>
      </c>
      <c r="AE163" s="324">
        <f t="shared" ca="1" si="63"/>
        <v>114.7081667836428</v>
      </c>
      <c r="AG163" s="306">
        <f t="shared" ca="1" si="85"/>
        <v>-30.727451510994435</v>
      </c>
      <c r="AH163" s="304">
        <f t="shared" ca="1" si="86"/>
        <v>-21.130637556630511</v>
      </c>
    </row>
    <row r="164" spans="1:34" x14ac:dyDescent="0.3">
      <c r="A164" s="347">
        <f t="shared" ca="1" si="64"/>
        <v>0.01</v>
      </c>
      <c r="B164" s="304">
        <f t="shared" ca="1" si="65"/>
        <v>1.6000000000000012</v>
      </c>
      <c r="D164" s="306">
        <f t="shared" ca="1" si="66"/>
        <v>-4.3538812500084454</v>
      </c>
      <c r="E164" s="307">
        <f t="shared" ca="1" si="67"/>
        <v>-30.327601090274385</v>
      </c>
      <c r="F164" s="304">
        <f t="shared" ca="1" si="68"/>
        <v>30.638532435970024</v>
      </c>
      <c r="G164" s="306">
        <f t="shared" ca="1" si="69"/>
        <v>17.313190926598484</v>
      </c>
      <c r="H164" s="307">
        <f t="shared" ca="1" si="70"/>
        <v>81.490056551356687</v>
      </c>
      <c r="I164" s="304">
        <f t="shared" ca="1" si="71"/>
        <v>83.308918470978625</v>
      </c>
      <c r="J164" s="306">
        <f t="shared" ca="1" si="72"/>
        <v>22.883598984012906</v>
      </c>
      <c r="K164" s="307">
        <f t="shared" ca="1" si="73"/>
        <v>115.52458372921087</v>
      </c>
      <c r="L164" s="304">
        <f t="shared" ca="1" si="58"/>
        <v>117.76921732043807</v>
      </c>
      <c r="M164" s="306">
        <f t="shared" ca="1" si="74"/>
        <v>1.3614513955836711</v>
      </c>
      <c r="N164" s="304">
        <f t="shared" ca="1" si="75"/>
        <v>78.005418979140245</v>
      </c>
      <c r="P164" s="310">
        <f t="shared" ca="1" si="76"/>
        <v>22</v>
      </c>
      <c r="Q164" s="304">
        <f t="shared" ca="1" si="77"/>
        <v>0</v>
      </c>
      <c r="R164" s="306">
        <f t="shared" ca="1" si="78"/>
        <v>0</v>
      </c>
      <c r="S164" s="307">
        <f t="shared" ca="1" si="79"/>
        <v>0.4270000000000001</v>
      </c>
      <c r="T164" s="304">
        <f t="shared" ca="1" si="59"/>
        <v>4.1888700000000014</v>
      </c>
      <c r="U164" s="311">
        <f t="shared" ca="1" si="60"/>
        <v>0</v>
      </c>
      <c r="V164" s="306">
        <f t="shared" ca="1" si="61"/>
        <v>1.2109295128517057</v>
      </c>
      <c r="W164" s="304">
        <f t="shared" ca="1" si="62"/>
        <v>8.8900017903886379</v>
      </c>
      <c r="Y164" s="314" t="str">
        <f t="shared" ca="1" si="80"/>
        <v/>
      </c>
      <c r="Z164" s="315" t="str">
        <f t="shared" ca="1" si="81"/>
        <v/>
      </c>
      <c r="AA164" s="316" t="str">
        <f t="shared" ca="1" si="82"/>
        <v/>
      </c>
      <c r="AC164" s="310" t="e">
        <f t="shared" ca="1" si="83"/>
        <v>#N/A</v>
      </c>
      <c r="AD164" s="323" t="e">
        <f t="shared" ca="1" si="84"/>
        <v>#N/A</v>
      </c>
      <c r="AE164" s="324">
        <f t="shared" ca="1" si="63"/>
        <v>115.52458372921087</v>
      </c>
      <c r="AG164" s="306">
        <f t="shared" ca="1" si="85"/>
        <v>-30.570785166051476</v>
      </c>
      <c r="AH164" s="304">
        <f t="shared" ca="1" si="86"/>
        <v>-20.974466296876393</v>
      </c>
    </row>
    <row r="165" spans="1:34" x14ac:dyDescent="0.3">
      <c r="A165" s="347">
        <f t="shared" ca="1" si="64"/>
        <v>0.01</v>
      </c>
      <c r="B165" s="304">
        <f t="shared" ca="1" si="65"/>
        <v>1.6100000000000012</v>
      </c>
      <c r="D165" s="306">
        <f t="shared" ca="1" si="66"/>
        <v>-4.326728012374919</v>
      </c>
      <c r="E165" s="307">
        <f t="shared" ca="1" si="67"/>
        <v>-30.175125753282721</v>
      </c>
      <c r="F165" s="304">
        <f t="shared" ca="1" si="68"/>
        <v>30.483746317004673</v>
      </c>
      <c r="G165" s="306">
        <f t="shared" ca="1" si="69"/>
        <v>17.269923646474734</v>
      </c>
      <c r="H165" s="307">
        <f t="shared" ca="1" si="70"/>
        <v>81.188305293823859</v>
      </c>
      <c r="I165" s="304">
        <f t="shared" ca="1" si="71"/>
        <v>83.004766003153179</v>
      </c>
      <c r="J165" s="306">
        <f t="shared" ca="1" si="72"/>
        <v>23.056514556878273</v>
      </c>
      <c r="K165" s="307">
        <f t="shared" ca="1" si="73"/>
        <v>116.33797553843678</v>
      </c>
      <c r="L165" s="304">
        <f t="shared" ca="1" si="58"/>
        <v>118.60070579846249</v>
      </c>
      <c r="M165" s="306">
        <f t="shared" ca="1" si="74"/>
        <v>1.361205782439836</v>
      </c>
      <c r="N165" s="304">
        <f t="shared" ca="1" si="75"/>
        <v>77.991346382605556</v>
      </c>
      <c r="P165" s="310">
        <f t="shared" ca="1" si="76"/>
        <v>22</v>
      </c>
      <c r="Q165" s="304">
        <f t="shared" ca="1" si="77"/>
        <v>0</v>
      </c>
      <c r="R165" s="306">
        <f t="shared" ca="1" si="78"/>
        <v>0</v>
      </c>
      <c r="S165" s="307">
        <f t="shared" ca="1" si="79"/>
        <v>0.4270000000000001</v>
      </c>
      <c r="T165" s="304">
        <f t="shared" ca="1" si="59"/>
        <v>4.1888700000000014</v>
      </c>
      <c r="U165" s="311">
        <f t="shared" ca="1" si="60"/>
        <v>0</v>
      </c>
      <c r="V165" s="306">
        <f t="shared" ca="1" si="61"/>
        <v>1.2108310175333221</v>
      </c>
      <c r="W165" s="304">
        <f t="shared" ca="1" si="62"/>
        <v>8.8244894540377121</v>
      </c>
      <c r="Y165" s="314" t="str">
        <f t="shared" ca="1" si="80"/>
        <v/>
      </c>
      <c r="Z165" s="315" t="str">
        <f t="shared" ca="1" si="81"/>
        <v/>
      </c>
      <c r="AA165" s="316" t="str">
        <f t="shared" ca="1" si="82"/>
        <v/>
      </c>
      <c r="AC165" s="310" t="e">
        <f t="shared" ca="1" si="83"/>
        <v>#N/A</v>
      </c>
      <c r="AD165" s="323" t="e">
        <f t="shared" ca="1" si="84"/>
        <v>#N/A</v>
      </c>
      <c r="AE165" s="324">
        <f t="shared" ca="1" si="63"/>
        <v>116.33797553843678</v>
      </c>
      <c r="AG165" s="306">
        <f t="shared" ca="1" si="85"/>
        <v>-30.415497149056343</v>
      </c>
      <c r="AH165" s="304">
        <f t="shared" ca="1" si="86"/>
        <v>-20.819676324095166</v>
      </c>
    </row>
    <row r="166" spans="1:34" x14ac:dyDescent="0.3">
      <c r="A166" s="347">
        <f t="shared" ca="1" si="64"/>
        <v>0.01</v>
      </c>
      <c r="B166" s="304">
        <f t="shared" ca="1" si="65"/>
        <v>1.6200000000000012</v>
      </c>
      <c r="D166" s="306">
        <f t="shared" ca="1" si="66"/>
        <v>-4.2998083751004721</v>
      </c>
      <c r="E166" s="307">
        <f t="shared" ca="1" si="67"/>
        <v>-30.023995279235507</v>
      </c>
      <c r="F166" s="304">
        <f t="shared" ca="1" si="68"/>
        <v>30.330325494299267</v>
      </c>
      <c r="G166" s="306">
        <f t="shared" ca="1" si="69"/>
        <v>17.226925562723729</v>
      </c>
      <c r="H166" s="307">
        <f t="shared" ca="1" si="70"/>
        <v>80.888065341031506</v>
      </c>
      <c r="I166" s="304">
        <f t="shared" ca="1" si="71"/>
        <v>82.702152807279489</v>
      </c>
      <c r="J166" s="306">
        <f t="shared" ca="1" si="72"/>
        <v>23.228998802924266</v>
      </c>
      <c r="K166" s="307">
        <f t="shared" ca="1" si="73"/>
        <v>117.14835739161106</v>
      </c>
      <c r="L166" s="304">
        <f t="shared" ca="1" si="58"/>
        <v>119.42915902299107</v>
      </c>
      <c r="M166" s="306">
        <f t="shared" ca="1" si="74"/>
        <v>1.3609589856053794</v>
      </c>
      <c r="N166" s="304">
        <f t="shared" ca="1" si="75"/>
        <v>77.977205965593996</v>
      </c>
      <c r="P166" s="310">
        <f t="shared" ca="1" si="76"/>
        <v>22</v>
      </c>
      <c r="Q166" s="304">
        <f t="shared" ca="1" si="77"/>
        <v>0</v>
      </c>
      <c r="R166" s="306">
        <f t="shared" ca="1" si="78"/>
        <v>0</v>
      </c>
      <c r="S166" s="307">
        <f t="shared" ca="1" si="79"/>
        <v>0.4270000000000001</v>
      </c>
      <c r="T166" s="304">
        <f t="shared" ca="1" si="59"/>
        <v>4.1888700000000014</v>
      </c>
      <c r="U166" s="311">
        <f t="shared" ca="1" si="60"/>
        <v>0</v>
      </c>
      <c r="V166" s="306">
        <f t="shared" ca="1" si="61"/>
        <v>1.210732894617542</v>
      </c>
      <c r="W166" s="304">
        <f t="shared" ca="1" si="62"/>
        <v>8.7595533714621627</v>
      </c>
      <c r="Y166" s="314" t="str">
        <f t="shared" ca="1" si="80"/>
        <v/>
      </c>
      <c r="Z166" s="315" t="str">
        <f t="shared" ca="1" si="81"/>
        <v/>
      </c>
      <c r="AA166" s="316" t="str">
        <f t="shared" ca="1" si="82"/>
        <v/>
      </c>
      <c r="AC166" s="310" t="e">
        <f t="shared" ca="1" si="83"/>
        <v>#N/A</v>
      </c>
      <c r="AD166" s="323" t="e">
        <f t="shared" ca="1" si="84"/>
        <v>#N/A</v>
      </c>
      <c r="AE166" s="324">
        <f t="shared" ca="1" si="63"/>
        <v>117.14835739161106</v>
      </c>
      <c r="AG166" s="306">
        <f t="shared" ca="1" si="85"/>
        <v>-30.261571451306011</v>
      </c>
      <c r="AH166" s="304">
        <f t="shared" ca="1" si="86"/>
        <v>-20.666251648800259</v>
      </c>
    </row>
    <row r="167" spans="1:34" x14ac:dyDescent="0.3">
      <c r="A167" s="347">
        <f t="shared" ca="1" si="64"/>
        <v>0.01</v>
      </c>
      <c r="B167" s="304">
        <f t="shared" ca="1" si="65"/>
        <v>1.6300000000000012</v>
      </c>
      <c r="D167" s="306">
        <f t="shared" ca="1" si="66"/>
        <v>-4.2731196201159625</v>
      </c>
      <c r="E167" s="307">
        <f t="shared" ca="1" si="67"/>
        <v>-29.874194146743278</v>
      </c>
      <c r="F167" s="304">
        <f t="shared" ca="1" si="68"/>
        <v>30.178254210691684</v>
      </c>
      <c r="G167" s="306">
        <f t="shared" ca="1" si="69"/>
        <v>17.184194366522568</v>
      </c>
      <c r="H167" s="307">
        <f t="shared" ca="1" si="70"/>
        <v>80.58932339956408</v>
      </c>
      <c r="I167" s="304">
        <f t="shared" ca="1" si="71"/>
        <v>82.401065418026917</v>
      </c>
      <c r="J167" s="306">
        <f t="shared" ca="1" si="72"/>
        <v>23.401054402570498</v>
      </c>
      <c r="K167" s="307">
        <f t="shared" ca="1" si="73"/>
        <v>117.95574433531404</v>
      </c>
      <c r="L167" s="304">
        <f t="shared" ca="1" si="58"/>
        <v>120.25459229838182</v>
      </c>
      <c r="M167" s="306">
        <f t="shared" ca="1" si="74"/>
        <v>1.3607109996146904</v>
      </c>
      <c r="N167" s="304">
        <f t="shared" ca="1" si="75"/>
        <v>77.962997414949143</v>
      </c>
      <c r="P167" s="310">
        <f t="shared" ca="1" si="76"/>
        <v>22</v>
      </c>
      <c r="Q167" s="304">
        <f t="shared" ca="1" si="77"/>
        <v>0</v>
      </c>
      <c r="R167" s="306">
        <f t="shared" ca="1" si="78"/>
        <v>0</v>
      </c>
      <c r="S167" s="307">
        <f t="shared" ca="1" si="79"/>
        <v>0.4270000000000001</v>
      </c>
      <c r="T167" s="304">
        <f t="shared" ca="1" si="59"/>
        <v>4.1888700000000014</v>
      </c>
      <c r="U167" s="311">
        <f t="shared" ca="1" si="60"/>
        <v>0</v>
      </c>
      <c r="V167" s="306">
        <f t="shared" ca="1" si="61"/>
        <v>1.2106351421936647</v>
      </c>
      <c r="W167" s="304">
        <f t="shared" ca="1" si="62"/>
        <v>8.6951869119428444</v>
      </c>
      <c r="Y167" s="314" t="str">
        <f t="shared" ca="1" si="80"/>
        <v/>
      </c>
      <c r="Z167" s="315" t="str">
        <f t="shared" ca="1" si="81"/>
        <v/>
      </c>
      <c r="AA167" s="316" t="str">
        <f t="shared" ca="1" si="82"/>
        <v/>
      </c>
      <c r="AC167" s="310" t="e">
        <f t="shared" ca="1" si="83"/>
        <v>#N/A</v>
      </c>
      <c r="AD167" s="323" t="e">
        <f t="shared" ca="1" si="84"/>
        <v>#N/A</v>
      </c>
      <c r="AE167" s="324">
        <f t="shared" ca="1" si="63"/>
        <v>117.95574433531404</v>
      </c>
      <c r="AG167" s="306">
        <f t="shared" ca="1" si="85"/>
        <v>-30.108992296384397</v>
      </c>
      <c r="AH167" s="304">
        <f t="shared" ca="1" si="86"/>
        <v>-20.514176513962905</v>
      </c>
    </row>
    <row r="168" spans="1:34" x14ac:dyDescent="0.3">
      <c r="A168" s="347">
        <f t="shared" ca="1" si="64"/>
        <v>0.01</v>
      </c>
      <c r="B168" s="304">
        <f t="shared" ca="1" si="65"/>
        <v>1.6400000000000012</v>
      </c>
      <c r="D168" s="306">
        <f t="shared" ca="1" si="66"/>
        <v>-4.2466590687059824</v>
      </c>
      <c r="E168" s="307">
        <f t="shared" ca="1" si="67"/>
        <v>-29.725707059410624</v>
      </c>
      <c r="F168" s="304">
        <f t="shared" ca="1" si="68"/>
        <v>30.027516937431194</v>
      </c>
      <c r="G168" s="306">
        <f t="shared" ca="1" si="69"/>
        <v>17.141727775835509</v>
      </c>
      <c r="H168" s="307">
        <f t="shared" ca="1" si="70"/>
        <v>80.29206632896998</v>
      </c>
      <c r="I168" s="304">
        <f t="shared" ca="1" si="71"/>
        <v>82.101490525547504</v>
      </c>
      <c r="J168" s="306">
        <f t="shared" ca="1" si="72"/>
        <v>23.572684013282288</v>
      </c>
      <c r="K168" s="307">
        <f t="shared" ca="1" si="73"/>
        <v>118.7601512839567</v>
      </c>
      <c r="L168" s="304">
        <f t="shared" ca="1" si="58"/>
        <v>121.07702079494001</v>
      </c>
      <c r="M168" s="306">
        <f t="shared" ca="1" si="74"/>
        <v>1.3604618189617788</v>
      </c>
      <c r="N168" s="304">
        <f t="shared" ca="1" si="75"/>
        <v>77.948720415200995</v>
      </c>
      <c r="P168" s="310">
        <f t="shared" ca="1" si="76"/>
        <v>22</v>
      </c>
      <c r="Q168" s="304">
        <f t="shared" ca="1" si="77"/>
        <v>0</v>
      </c>
      <c r="R168" s="306">
        <f t="shared" ca="1" si="78"/>
        <v>0</v>
      </c>
      <c r="S168" s="307">
        <f t="shared" ca="1" si="79"/>
        <v>0.4270000000000001</v>
      </c>
      <c r="T168" s="304">
        <f t="shared" ca="1" si="59"/>
        <v>4.1888700000000014</v>
      </c>
      <c r="U168" s="311">
        <f t="shared" ca="1" si="60"/>
        <v>0</v>
      </c>
      <c r="V168" s="306">
        <f t="shared" ca="1" si="61"/>
        <v>1.2105377583679218</v>
      </c>
      <c r="W168" s="304">
        <f t="shared" ca="1" si="62"/>
        <v>8.6313835406005222</v>
      </c>
      <c r="Y168" s="314" t="str">
        <f t="shared" ca="1" si="80"/>
        <v/>
      </c>
      <c r="Z168" s="315" t="str">
        <f t="shared" ca="1" si="81"/>
        <v/>
      </c>
      <c r="AA168" s="316" t="str">
        <f t="shared" ca="1" si="82"/>
        <v/>
      </c>
      <c r="AC168" s="310" t="e">
        <f t="shared" ca="1" si="83"/>
        <v>#N/A</v>
      </c>
      <c r="AD168" s="323" t="e">
        <f t="shared" ca="1" si="84"/>
        <v>#N/A</v>
      </c>
      <c r="AE168" s="324">
        <f t="shared" ca="1" si="63"/>
        <v>118.7601512839567</v>
      </c>
      <c r="AG168" s="306">
        <f t="shared" ca="1" si="85"/>
        <v>-29.957744136115274</v>
      </c>
      <c r="AH168" s="304">
        <f t="shared" ca="1" si="86"/>
        <v>-20.363435390966846</v>
      </c>
    </row>
    <row r="169" spans="1:34" x14ac:dyDescent="0.3">
      <c r="A169" s="347">
        <f t="shared" ca="1" si="64"/>
        <v>0.01</v>
      </c>
      <c r="B169" s="304">
        <f t="shared" ca="1" si="65"/>
        <v>1.6500000000000012</v>
      </c>
      <c r="D169" s="306">
        <f t="shared" ca="1" si="66"/>
        <v>-4.2204240808258673</v>
      </c>
      <c r="E169" s="307">
        <f t="shared" ca="1" si="67"/>
        <v>-29.578518941932387</v>
      </c>
      <c r="F169" s="304">
        <f t="shared" ca="1" si="68"/>
        <v>29.878098370215394</v>
      </c>
      <c r="G169" s="306">
        <f t="shared" ca="1" si="69"/>
        <v>17.099523535027249</v>
      </c>
      <c r="H169" s="307">
        <f t="shared" ca="1" si="70"/>
        <v>79.996281139550661</v>
      </c>
      <c r="I169" s="304">
        <f t="shared" ca="1" si="71"/>
        <v>81.803414973233103</v>
      </c>
      <c r="J169" s="306">
        <f t="shared" ca="1" si="72"/>
        <v>23.743890269836601</v>
      </c>
      <c r="K169" s="307">
        <f t="shared" ca="1" si="73"/>
        <v>119.5615930212993</v>
      </c>
      <c r="L169" s="304">
        <f t="shared" ca="1" si="58"/>
        <v>121.89645955045965</v>
      </c>
      <c r="M169" s="306">
        <f t="shared" ca="1" si="74"/>
        <v>1.3602114380999408</v>
      </c>
      <c r="N169" s="304">
        <f t="shared" ca="1" si="75"/>
        <v>77.934374648546836</v>
      </c>
      <c r="P169" s="310">
        <f t="shared" ca="1" si="76"/>
        <v>22</v>
      </c>
      <c r="Q169" s="304">
        <f t="shared" ca="1" si="77"/>
        <v>0</v>
      </c>
      <c r="R169" s="306">
        <f t="shared" ca="1" si="78"/>
        <v>0</v>
      </c>
      <c r="S169" s="307">
        <f t="shared" ca="1" si="79"/>
        <v>0.4270000000000001</v>
      </c>
      <c r="T169" s="304">
        <f t="shared" ca="1" si="59"/>
        <v>4.1888700000000014</v>
      </c>
      <c r="U169" s="311">
        <f t="shared" ca="1" si="60"/>
        <v>0</v>
      </c>
      <c r="V169" s="306">
        <f t="shared" ca="1" si="61"/>
        <v>1.2104407412632796</v>
      </c>
      <c r="W169" s="304">
        <f t="shared" ca="1" si="62"/>
        <v>8.5681368167377521</v>
      </c>
      <c r="Y169" s="314" t="str">
        <f t="shared" ca="1" si="80"/>
        <v/>
      </c>
      <c r="Z169" s="315" t="str">
        <f t="shared" ca="1" si="81"/>
        <v/>
      </c>
      <c r="AA169" s="316" t="str">
        <f t="shared" ca="1" si="82"/>
        <v/>
      </c>
      <c r="AC169" s="310" t="e">
        <f t="shared" ca="1" si="83"/>
        <v>#N/A</v>
      </c>
      <c r="AD169" s="323" t="e">
        <f t="shared" ca="1" si="84"/>
        <v>#N/A</v>
      </c>
      <c r="AE169" s="324">
        <f t="shared" ca="1" si="63"/>
        <v>119.5615930212993</v>
      </c>
      <c r="AG169" s="306">
        <f t="shared" ca="1" si="85"/>
        <v>-29.807811646597486</v>
      </c>
      <c r="AH169" s="304">
        <f t="shared" ca="1" si="86"/>
        <v>-20.214012975645247</v>
      </c>
    </row>
    <row r="170" spans="1:34" x14ac:dyDescent="0.3">
      <c r="A170" s="347">
        <f t="shared" ca="1" si="64"/>
        <v>0.01</v>
      </c>
      <c r="B170" s="304">
        <f t="shared" ca="1" si="65"/>
        <v>1.6600000000000013</v>
      </c>
      <c r="D170" s="306">
        <f t="shared" ca="1" si="66"/>
        <v>-4.1944120544324903</v>
      </c>
      <c r="E170" s="307">
        <f t="shared" ca="1" si="67"/>
        <v>-29.432614936268571</v>
      </c>
      <c r="F170" s="304">
        <f t="shared" ca="1" si="68"/>
        <v>29.72998342530699</v>
      </c>
      <c r="G170" s="306">
        <f t="shared" ca="1" si="69"/>
        <v>17.057579414482923</v>
      </c>
      <c r="H170" s="307">
        <f t="shared" ca="1" si="70"/>
        <v>79.701954990187971</v>
      </c>
      <c r="I170" s="304">
        <f t="shared" ca="1" si="71"/>
        <v>81.50682575551167</v>
      </c>
      <c r="J170" s="306">
        <f t="shared" ca="1" si="72"/>
        <v>23.914675784584151</v>
      </c>
      <c r="K170" s="307">
        <f t="shared" ca="1" si="73"/>
        <v>120.360084201948</v>
      </c>
      <c r="L170" s="304">
        <f t="shared" ca="1" si="58"/>
        <v>122.71292347174273</v>
      </c>
      <c r="M170" s="306">
        <f t="shared" ca="1" si="74"/>
        <v>1.3599598514414242</v>
      </c>
      <c r="N170" s="304">
        <f t="shared" ca="1" si="75"/>
        <v>77.919959794832025</v>
      </c>
      <c r="P170" s="310">
        <f t="shared" ca="1" si="76"/>
        <v>22</v>
      </c>
      <c r="Q170" s="304">
        <f t="shared" ca="1" si="77"/>
        <v>0</v>
      </c>
      <c r="R170" s="306">
        <f t="shared" ca="1" si="78"/>
        <v>0</v>
      </c>
      <c r="S170" s="307">
        <f t="shared" ca="1" si="79"/>
        <v>0.4270000000000001</v>
      </c>
      <c r="T170" s="304">
        <f t="shared" ca="1" si="59"/>
        <v>4.1888700000000014</v>
      </c>
      <c r="U170" s="311">
        <f t="shared" ca="1" si="60"/>
        <v>0</v>
      </c>
      <c r="V170" s="306">
        <f t="shared" ca="1" si="61"/>
        <v>1.2103440890192465</v>
      </c>
      <c r="W170" s="304">
        <f t="shared" ca="1" si="62"/>
        <v>8.5054403922142789</v>
      </c>
      <c r="Y170" s="314" t="str">
        <f t="shared" ca="1" si="80"/>
        <v/>
      </c>
      <c r="Z170" s="315" t="str">
        <f t="shared" ca="1" si="81"/>
        <v/>
      </c>
      <c r="AA170" s="316" t="str">
        <f t="shared" ca="1" si="82"/>
        <v/>
      </c>
      <c r="AC170" s="310" t="e">
        <f t="shared" ca="1" si="83"/>
        <v>#N/A</v>
      </c>
      <c r="AD170" s="323" t="e">
        <f t="shared" ca="1" si="84"/>
        <v>#N/A</v>
      </c>
      <c r="AE170" s="324">
        <f t="shared" ca="1" si="63"/>
        <v>120.360084201948</v>
      </c>
      <c r="AG170" s="306">
        <f t="shared" ca="1" si="85"/>
        <v>-29.659179724319984</v>
      </c>
      <c r="AH170" s="304">
        <f t="shared" ca="1" si="86"/>
        <v>-20.065894184397543</v>
      </c>
    </row>
    <row r="171" spans="1:34" x14ac:dyDescent="0.3">
      <c r="A171" s="347">
        <f t="shared" ca="1" si="64"/>
        <v>0.01</v>
      </c>
      <c r="B171" s="304">
        <f t="shared" ca="1" si="65"/>
        <v>1.6700000000000013</v>
      </c>
      <c r="D171" s="306">
        <f t="shared" ca="1" si="66"/>
        <v>-4.1686204248285454</v>
      </c>
      <c r="E171" s="307">
        <f t="shared" ca="1" si="67"/>
        <v>-29.287980397896597</v>
      </c>
      <c r="F171" s="304">
        <f t="shared" ca="1" si="68"/>
        <v>29.583157235729132</v>
      </c>
      <c r="G171" s="306">
        <f t="shared" ca="1" si="69"/>
        <v>17.015893210234637</v>
      </c>
      <c r="H171" s="307">
        <f t="shared" ca="1" si="70"/>
        <v>79.409075186209009</v>
      </c>
      <c r="I171" s="304">
        <f t="shared" ca="1" si="71"/>
        <v>81.211710015681263</v>
      </c>
      <c r="J171" s="306">
        <f t="shared" ca="1" si="72"/>
        <v>24.08504314770774</v>
      </c>
      <c r="K171" s="307">
        <f t="shared" ca="1" si="73"/>
        <v>121.15563935282998</v>
      </c>
      <c r="L171" s="304">
        <f t="shared" ca="1" si="58"/>
        <v>123.52642733609657</v>
      </c>
      <c r="M171" s="306">
        <f t="shared" ca="1" si="74"/>
        <v>1.3597070533570863</v>
      </c>
      <c r="N171" s="304">
        <f t="shared" ca="1" si="75"/>
        <v>77.905475531530485</v>
      </c>
      <c r="P171" s="310">
        <f t="shared" ca="1" si="76"/>
        <v>22</v>
      </c>
      <c r="Q171" s="304">
        <f t="shared" ca="1" si="77"/>
        <v>0</v>
      </c>
      <c r="R171" s="306">
        <f t="shared" ca="1" si="78"/>
        <v>0</v>
      </c>
      <c r="S171" s="307">
        <f t="shared" ca="1" si="79"/>
        <v>0.4270000000000001</v>
      </c>
      <c r="T171" s="304">
        <f t="shared" ca="1" si="59"/>
        <v>4.1888700000000014</v>
      </c>
      <c r="U171" s="311">
        <f t="shared" ca="1" si="60"/>
        <v>0</v>
      </c>
      <c r="V171" s="306">
        <f t="shared" ca="1" si="61"/>
        <v>1.2102477997916834</v>
      </c>
      <c r="W171" s="304">
        <f t="shared" ca="1" si="62"/>
        <v>8.4432880098549887</v>
      </c>
      <c r="Y171" s="314" t="str">
        <f t="shared" ca="1" si="80"/>
        <v/>
      </c>
      <c r="Z171" s="315" t="str">
        <f t="shared" ca="1" si="81"/>
        <v/>
      </c>
      <c r="AA171" s="316" t="str">
        <f t="shared" ca="1" si="82"/>
        <v/>
      </c>
      <c r="AC171" s="310" t="e">
        <f t="shared" ca="1" si="83"/>
        <v>#N/A</v>
      </c>
      <c r="AD171" s="323" t="e">
        <f t="shared" ca="1" si="84"/>
        <v>#N/A</v>
      </c>
      <c r="AE171" s="324">
        <f t="shared" ca="1" si="63"/>
        <v>121.15563935282998</v>
      </c>
      <c r="AG171" s="306">
        <f t="shared" ca="1" si="85"/>
        <v>-29.511833482355328</v>
      </c>
      <c r="AH171" s="304">
        <f t="shared" ca="1" si="86"/>
        <v>-19.919064150384724</v>
      </c>
    </row>
    <row r="172" spans="1:34" x14ac:dyDescent="0.3">
      <c r="A172" s="347">
        <f t="shared" ca="1" si="64"/>
        <v>0.01</v>
      </c>
      <c r="B172" s="304">
        <f t="shared" ca="1" si="65"/>
        <v>1.6800000000000013</v>
      </c>
      <c r="D172" s="306">
        <f t="shared" ca="1" si="66"/>
        <v>-4.1430466640200123</v>
      </c>
      <c r="E172" s="307">
        <f t="shared" ca="1" si="67"/>
        <v>-29.144600892138598</v>
      </c>
      <c r="F172" s="304">
        <f t="shared" ca="1" si="68"/>
        <v>29.437605147536939</v>
      </c>
      <c r="G172" s="306">
        <f t="shared" ca="1" si="69"/>
        <v>16.974462743594437</v>
      </c>
      <c r="H172" s="307">
        <f t="shared" ca="1" si="70"/>
        <v>79.117629177287625</v>
      </c>
      <c r="I172" s="304">
        <f t="shared" ca="1" si="71"/>
        <v>80.918055043781607</v>
      </c>
      <c r="J172" s="306">
        <f t="shared" ca="1" si="72"/>
        <v>24.254994927476886</v>
      </c>
      <c r="K172" s="307">
        <f t="shared" ca="1" si="73"/>
        <v>121.94827287464746</v>
      </c>
      <c r="L172" s="304">
        <f t="shared" ca="1" si="58"/>
        <v>124.33698579280988</v>
      </c>
      <c r="M172" s="306">
        <f t="shared" ca="1" si="74"/>
        <v>1.3594530381760508</v>
      </c>
      <c r="N172" s="304">
        <f t="shared" ca="1" si="75"/>
        <v>77.890921533724892</v>
      </c>
      <c r="P172" s="310">
        <f t="shared" ca="1" si="76"/>
        <v>22</v>
      </c>
      <c r="Q172" s="304">
        <f t="shared" ca="1" si="77"/>
        <v>0</v>
      </c>
      <c r="R172" s="306">
        <f t="shared" ca="1" si="78"/>
        <v>0</v>
      </c>
      <c r="S172" s="307">
        <f t="shared" ca="1" si="79"/>
        <v>0.4270000000000001</v>
      </c>
      <c r="T172" s="304">
        <f t="shared" ca="1" si="59"/>
        <v>4.1888700000000014</v>
      </c>
      <c r="U172" s="311">
        <f t="shared" ca="1" si="60"/>
        <v>0</v>
      </c>
      <c r="V172" s="306">
        <f t="shared" ca="1" si="61"/>
        <v>1.2101518717526152</v>
      </c>
      <c r="W172" s="304">
        <f t="shared" ca="1" si="62"/>
        <v>8.3816735018898267</v>
      </c>
      <c r="Y172" s="314" t="str">
        <f t="shared" ca="1" si="80"/>
        <v/>
      </c>
      <c r="Z172" s="315" t="str">
        <f t="shared" ca="1" si="81"/>
        <v/>
      </c>
      <c r="AA172" s="316" t="str">
        <f t="shared" ca="1" si="82"/>
        <v/>
      </c>
      <c r="AC172" s="310" t="e">
        <f t="shared" ca="1" si="83"/>
        <v>#N/A</v>
      </c>
      <c r="AD172" s="323" t="e">
        <f t="shared" ca="1" si="84"/>
        <v>#N/A</v>
      </c>
      <c r="AE172" s="324">
        <f t="shared" ca="1" si="63"/>
        <v>121.94827287464746</v>
      </c>
      <c r="AG172" s="306">
        <f t="shared" ca="1" si="85"/>
        <v>-29.365758246629447</v>
      </c>
      <c r="AH172" s="304">
        <f t="shared" ca="1" si="86"/>
        <v>-19.773508219800906</v>
      </c>
    </row>
    <row r="173" spans="1:34" x14ac:dyDescent="0.3">
      <c r="A173" s="347">
        <f t="shared" ca="1" si="64"/>
        <v>0.01</v>
      </c>
      <c r="B173" s="304">
        <f t="shared" ca="1" si="65"/>
        <v>1.6900000000000013</v>
      </c>
      <c r="D173" s="306">
        <f t="shared" ca="1" si="66"/>
        <v>-4.117688280086508</v>
      </c>
      <c r="E173" s="307">
        <f t="shared" ca="1" si="67"/>
        <v>-29.002462190562483</v>
      </c>
      <c r="F173" s="304">
        <f t="shared" ca="1" si="68"/>
        <v>29.293312716163875</v>
      </c>
      <c r="G173" s="306">
        <f t="shared" ca="1" si="69"/>
        <v>16.933285860793571</v>
      </c>
      <c r="H173" s="307">
        <f t="shared" ca="1" si="70"/>
        <v>78.827604555381996</v>
      </c>
      <c r="I173" s="304">
        <f t="shared" ca="1" si="71"/>
        <v>80.62584827450209</v>
      </c>
      <c r="J173" s="306">
        <f t="shared" ca="1" si="72"/>
        <v>24.424533670498825</v>
      </c>
      <c r="K173" s="307">
        <f t="shared" ca="1" si="73"/>
        <v>122.73799904331081</v>
      </c>
      <c r="L173" s="304">
        <f t="shared" ca="1" si="58"/>
        <v>125.14461336460748</v>
      </c>
      <c r="M173" s="306">
        <f t="shared" ca="1" si="74"/>
        <v>1.3591978001853606</v>
      </c>
      <c r="N173" s="304">
        <f t="shared" ca="1" si="75"/>
        <v>77.87629747408694</v>
      </c>
      <c r="P173" s="310">
        <f t="shared" ca="1" si="76"/>
        <v>22</v>
      </c>
      <c r="Q173" s="304">
        <f t="shared" ca="1" si="77"/>
        <v>0</v>
      </c>
      <c r="R173" s="306">
        <f t="shared" ca="1" si="78"/>
        <v>0</v>
      </c>
      <c r="S173" s="307">
        <f t="shared" ca="1" si="79"/>
        <v>0.4270000000000001</v>
      </c>
      <c r="T173" s="304">
        <f t="shared" ca="1" si="59"/>
        <v>4.1888700000000014</v>
      </c>
      <c r="U173" s="311">
        <f t="shared" ca="1" si="60"/>
        <v>0</v>
      </c>
      <c r="V173" s="306">
        <f t="shared" ca="1" si="61"/>
        <v>1.2100563030900462</v>
      </c>
      <c r="W173" s="304">
        <f t="shared" ca="1" si="62"/>
        <v>8.3205907884248536</v>
      </c>
      <c r="Y173" s="314" t="str">
        <f t="shared" ca="1" si="80"/>
        <v/>
      </c>
      <c r="Z173" s="315" t="str">
        <f t="shared" ca="1" si="81"/>
        <v/>
      </c>
      <c r="AA173" s="316" t="str">
        <f t="shared" ca="1" si="82"/>
        <v/>
      </c>
      <c r="AC173" s="310" t="e">
        <f t="shared" ca="1" si="83"/>
        <v>#N/A</v>
      </c>
      <c r="AD173" s="323" t="e">
        <f t="shared" ca="1" si="84"/>
        <v>#N/A</v>
      </c>
      <c r="AE173" s="324">
        <f t="shared" ca="1" si="63"/>
        <v>122.73799904331081</v>
      </c>
      <c r="AG173" s="306">
        <f t="shared" ca="1" si="85"/>
        <v>-29.220939552266199</v>
      </c>
      <c r="AH173" s="304">
        <f t="shared" ca="1" si="86"/>
        <v>-19.62921194821973</v>
      </c>
    </row>
    <row r="174" spans="1:34" x14ac:dyDescent="0.3">
      <c r="A174" s="347">
        <f t="shared" ca="1" si="64"/>
        <v>0.01</v>
      </c>
      <c r="B174" s="304">
        <f t="shared" ca="1" si="65"/>
        <v>1.7000000000000013</v>
      </c>
      <c r="D174" s="306">
        <f t="shared" ca="1" si="66"/>
        <v>-4.0925428165641904</v>
      </c>
      <c r="E174" s="307">
        <f t="shared" ca="1" si="67"/>
        <v>-28.861550267454852</v>
      </c>
      <c r="F174" s="304">
        <f t="shared" ca="1" si="68"/>
        <v>29.150265702841104</v>
      </c>
      <c r="G174" s="306">
        <f t="shared" ca="1" si="69"/>
        <v>16.892360432627928</v>
      </c>
      <c r="H174" s="307">
        <f t="shared" ca="1" si="70"/>
        <v>78.53898905270745</v>
      </c>
      <c r="I174" s="304">
        <f t="shared" ca="1" si="71"/>
        <v>80.335077285125664</v>
      </c>
      <c r="J174" s="306">
        <f t="shared" ca="1" si="72"/>
        <v>24.593661901965934</v>
      </c>
      <c r="K174" s="307">
        <f t="shared" ca="1" si="73"/>
        <v>123.52483201135125</v>
      </c>
      <c r="L174" s="304">
        <f t="shared" ca="1" si="58"/>
        <v>125.94932444908451</v>
      </c>
      <c r="M174" s="306">
        <f t="shared" ca="1" si="74"/>
        <v>1.3589413336296268</v>
      </c>
      <c r="N174" s="304">
        <f t="shared" ca="1" si="75"/>
        <v>77.861603022857139</v>
      </c>
      <c r="P174" s="310">
        <f t="shared" ca="1" si="76"/>
        <v>22</v>
      </c>
      <c r="Q174" s="304">
        <f t="shared" ca="1" si="77"/>
        <v>0</v>
      </c>
      <c r="R174" s="306">
        <f t="shared" ca="1" si="78"/>
        <v>0</v>
      </c>
      <c r="S174" s="307">
        <f t="shared" ca="1" si="79"/>
        <v>0.4270000000000001</v>
      </c>
      <c r="T174" s="304">
        <f t="shared" ca="1" si="59"/>
        <v>4.1888700000000014</v>
      </c>
      <c r="U174" s="311">
        <f t="shared" ca="1" si="60"/>
        <v>0</v>
      </c>
      <c r="V174" s="306">
        <f t="shared" ca="1" si="61"/>
        <v>1.2099610920077783</v>
      </c>
      <c r="W174" s="304">
        <f t="shared" ca="1" si="62"/>
        <v>8.2600338759437779</v>
      </c>
      <c r="Y174" s="314" t="str">
        <f t="shared" ca="1" si="80"/>
        <v/>
      </c>
      <c r="Z174" s="315" t="str">
        <f t="shared" ca="1" si="81"/>
        <v/>
      </c>
      <c r="AA174" s="316" t="str">
        <f t="shared" ca="1" si="82"/>
        <v/>
      </c>
      <c r="AC174" s="310" t="e">
        <f t="shared" ca="1" si="83"/>
        <v>#N/A</v>
      </c>
      <c r="AD174" s="323" t="e">
        <f t="shared" ca="1" si="84"/>
        <v>#N/A</v>
      </c>
      <c r="AE174" s="324">
        <f t="shared" ca="1" si="63"/>
        <v>123.52483201135125</v>
      </c>
      <c r="AG174" s="306">
        <f t="shared" ca="1" si="85"/>
        <v>-29.077363140004834</v>
      </c>
      <c r="AH174" s="304">
        <f t="shared" ca="1" si="86"/>
        <v>-19.486161097013703</v>
      </c>
    </row>
    <row r="175" spans="1:34" x14ac:dyDescent="0.3">
      <c r="A175" s="347">
        <f t="shared" ca="1" si="64"/>
        <v>0.01</v>
      </c>
      <c r="B175" s="304">
        <f t="shared" ca="1" si="65"/>
        <v>1.7100000000000013</v>
      </c>
      <c r="D175" s="306">
        <f t="shared" ca="1" si="66"/>
        <v>-4.0676078518409851</v>
      </c>
      <c r="E175" s="307">
        <f t="shared" ca="1" si="67"/>
        <v>-28.7218512963642</v>
      </c>
      <c r="F175" s="304">
        <f t="shared" ca="1" si="68"/>
        <v>29.008450071088188</v>
      </c>
      <c r="G175" s="306">
        <f t="shared" ca="1" si="69"/>
        <v>16.851684354109519</v>
      </c>
      <c r="H175" s="307">
        <f t="shared" ca="1" si="70"/>
        <v>78.251770539743802</v>
      </c>
      <c r="I175" s="304">
        <f t="shared" ca="1" si="71"/>
        <v>80.045729793507761</v>
      </c>
      <c r="J175" s="306">
        <f t="shared" ca="1" si="72"/>
        <v>24.76238212589962</v>
      </c>
      <c r="K175" s="307">
        <f t="shared" ca="1" si="73"/>
        <v>124.30878580931351</v>
      </c>
      <c r="L175" s="304">
        <f t="shared" ca="1" si="58"/>
        <v>126.75113332012009</v>
      </c>
      <c r="M175" s="306">
        <f t="shared" ca="1" si="74"/>
        <v>1.3586836327106739</v>
      </c>
      <c r="N175" s="304">
        <f t="shared" ca="1" si="75"/>
        <v>77.846837847824503</v>
      </c>
      <c r="P175" s="310">
        <f t="shared" ca="1" si="76"/>
        <v>22</v>
      </c>
      <c r="Q175" s="304">
        <f t="shared" ca="1" si="77"/>
        <v>0</v>
      </c>
      <c r="R175" s="306">
        <f t="shared" ca="1" si="78"/>
        <v>0</v>
      </c>
      <c r="S175" s="307">
        <f t="shared" ca="1" si="79"/>
        <v>0.4270000000000001</v>
      </c>
      <c r="T175" s="304">
        <f t="shared" ca="1" si="59"/>
        <v>4.1888700000000014</v>
      </c>
      <c r="U175" s="311">
        <f t="shared" ca="1" si="60"/>
        <v>0</v>
      </c>
      <c r="V175" s="306">
        <f t="shared" ca="1" si="61"/>
        <v>1.2098662367252297</v>
      </c>
      <c r="W175" s="304">
        <f t="shared" ca="1" si="62"/>
        <v>8.1999968558392311</v>
      </c>
      <c r="Y175" s="314" t="str">
        <f t="shared" ca="1" si="80"/>
        <v/>
      </c>
      <c r="Z175" s="315" t="str">
        <f t="shared" ca="1" si="81"/>
        <v/>
      </c>
      <c r="AA175" s="316" t="str">
        <f t="shared" ca="1" si="82"/>
        <v/>
      </c>
      <c r="AC175" s="310" t="e">
        <f t="shared" ca="1" si="83"/>
        <v>#N/A</v>
      </c>
      <c r="AD175" s="323" t="e">
        <f t="shared" ca="1" si="84"/>
        <v>#N/A</v>
      </c>
      <c r="AE175" s="324">
        <f t="shared" ca="1" si="63"/>
        <v>124.30878580931351</v>
      </c>
      <c r="AG175" s="306">
        <f t="shared" ca="1" si="85"/>
        <v>-28.935014952688839</v>
      </c>
      <c r="AH175" s="304">
        <f t="shared" ca="1" si="86"/>
        <v>-19.344341629844909</v>
      </c>
    </row>
    <row r="176" spans="1:34" x14ac:dyDescent="0.3">
      <c r="A176" s="347">
        <f t="shared" ca="1" si="64"/>
        <v>0.01</v>
      </c>
      <c r="B176" s="304">
        <f t="shared" ca="1" si="65"/>
        <v>1.7200000000000013</v>
      </c>
      <c r="D176" s="306">
        <f t="shared" ca="1" si="66"/>
        <v>-4.0428809985637981</v>
      </c>
      <c r="E176" s="307">
        <f t="shared" ca="1" si="67"/>
        <v>-28.583351646712707</v>
      </c>
      <c r="F176" s="304">
        <f t="shared" ca="1" si="68"/>
        <v>28.867851983273404</v>
      </c>
      <c r="G176" s="306">
        <f t="shared" ca="1" si="69"/>
        <v>16.811255544123881</v>
      </c>
      <c r="H176" s="307">
        <f t="shared" ca="1" si="70"/>
        <v>77.96593702327668</v>
      </c>
      <c r="I176" s="304">
        <f t="shared" ca="1" si="71"/>
        <v>79.757793656089689</v>
      </c>
      <c r="J176" s="306">
        <f t="shared" ca="1" si="72"/>
        <v>24.930696825390786</v>
      </c>
      <c r="K176" s="307">
        <f t="shared" ca="1" si="73"/>
        <v>125.08987434712861</v>
      </c>
      <c r="L176" s="304">
        <f t="shared" ca="1" si="58"/>
        <v>127.55005412927106</v>
      </c>
      <c r="M176" s="306">
        <f t="shared" ca="1" si="74"/>
        <v>1.3584246915871814</v>
      </c>
      <c r="N176" s="304">
        <f t="shared" ca="1" si="75"/>
        <v>77.832001614305995</v>
      </c>
      <c r="P176" s="310">
        <f t="shared" ca="1" si="76"/>
        <v>22</v>
      </c>
      <c r="Q176" s="304">
        <f t="shared" ca="1" si="77"/>
        <v>0</v>
      </c>
      <c r="R176" s="306">
        <f t="shared" ca="1" si="78"/>
        <v>0</v>
      </c>
      <c r="S176" s="307">
        <f t="shared" ca="1" si="79"/>
        <v>0.4270000000000001</v>
      </c>
      <c r="T176" s="304">
        <f t="shared" ca="1" si="59"/>
        <v>4.1888700000000014</v>
      </c>
      <c r="U176" s="311">
        <f t="shared" ca="1" si="60"/>
        <v>0</v>
      </c>
      <c r="V176" s="306">
        <f t="shared" ca="1" si="61"/>
        <v>1.2097717354772604</v>
      </c>
      <c r="W176" s="304">
        <f t="shared" ca="1" si="62"/>
        <v>8.1404739029731878</v>
      </c>
      <c r="Y176" s="314" t="str">
        <f t="shared" ca="1" si="80"/>
        <v/>
      </c>
      <c r="Z176" s="315" t="str">
        <f t="shared" ca="1" si="81"/>
        <v/>
      </c>
      <c r="AA176" s="316" t="str">
        <f t="shared" ca="1" si="82"/>
        <v/>
      </c>
      <c r="AC176" s="310" t="e">
        <f t="shared" ca="1" si="83"/>
        <v>#N/A</v>
      </c>
      <c r="AD176" s="323" t="e">
        <f t="shared" ca="1" si="84"/>
        <v>#N/A</v>
      </c>
      <c r="AE176" s="324">
        <f t="shared" ca="1" si="63"/>
        <v>125.08987434712861</v>
      </c>
      <c r="AG176" s="306">
        <f t="shared" ca="1" si="85"/>
        <v>-28.793881131824374</v>
      </c>
      <c r="AH176" s="304">
        <f t="shared" ca="1" si="86"/>
        <v>-19.20373970922536</v>
      </c>
    </row>
    <row r="177" spans="1:34" x14ac:dyDescent="0.3">
      <c r="A177" s="347">
        <f t="shared" ca="1" si="64"/>
        <v>0.01</v>
      </c>
      <c r="B177" s="304">
        <f t="shared" ca="1" si="65"/>
        <v>1.7300000000000013</v>
      </c>
      <c r="D177" s="306">
        <f t="shared" ca="1" si="66"/>
        <v>-4.0183599030575241</v>
      </c>
      <c r="E177" s="307">
        <f t="shared" ca="1" si="67"/>
        <v>-28.446037880475309</v>
      </c>
      <c r="F177" s="304">
        <f t="shared" ca="1" si="68"/>
        <v>28.728457797242381</v>
      </c>
      <c r="G177" s="306">
        <f t="shared" ca="1" si="69"/>
        <v>16.771071945093304</v>
      </c>
      <c r="H177" s="307">
        <f t="shared" ca="1" si="70"/>
        <v>77.681476644471928</v>
      </c>
      <c r="I177" s="304">
        <f t="shared" ca="1" si="71"/>
        <v>79.471256865945776</v>
      </c>
      <c r="J177" s="306">
        <f t="shared" ca="1" si="72"/>
        <v>25.098608462836872</v>
      </c>
      <c r="K177" s="307">
        <f t="shared" ca="1" si="73"/>
        <v>125.86811141546735</v>
      </c>
      <c r="L177" s="304">
        <f t="shared" ca="1" si="58"/>
        <v>128.34610090714597</v>
      </c>
      <c r="M177" s="306">
        <f t="shared" ca="1" si="74"/>
        <v>1.358164504374322</v>
      </c>
      <c r="N177" s="304">
        <f t="shared" ca="1" si="75"/>
        <v>77.817093985125879</v>
      </c>
      <c r="P177" s="310">
        <f t="shared" ca="1" si="76"/>
        <v>22</v>
      </c>
      <c r="Q177" s="304">
        <f t="shared" ca="1" si="77"/>
        <v>0</v>
      </c>
      <c r="R177" s="306">
        <f t="shared" ca="1" si="78"/>
        <v>0</v>
      </c>
      <c r="S177" s="307">
        <f t="shared" ca="1" si="79"/>
        <v>0.4270000000000001</v>
      </c>
      <c r="T177" s="304">
        <f t="shared" ca="1" si="59"/>
        <v>4.1888700000000014</v>
      </c>
      <c r="U177" s="311">
        <f t="shared" ca="1" si="60"/>
        <v>0</v>
      </c>
      <c r="V177" s="306">
        <f t="shared" ca="1" si="61"/>
        <v>1.2096775865139957</v>
      </c>
      <c r="W177" s="304">
        <f t="shared" ca="1" si="62"/>
        <v>8.081459274265768</v>
      </c>
      <c r="Y177" s="314" t="str">
        <f t="shared" ca="1" si="80"/>
        <v/>
      </c>
      <c r="Z177" s="315" t="str">
        <f t="shared" ca="1" si="81"/>
        <v/>
      </c>
      <c r="AA177" s="316" t="str">
        <f t="shared" ca="1" si="82"/>
        <v/>
      </c>
      <c r="AC177" s="310" t="e">
        <f t="shared" ca="1" si="83"/>
        <v>#N/A</v>
      </c>
      <c r="AD177" s="323" t="e">
        <f t="shared" ca="1" si="84"/>
        <v>#N/A</v>
      </c>
      <c r="AE177" s="324">
        <f t="shared" ca="1" si="63"/>
        <v>125.86811141546735</v>
      </c>
      <c r="AG177" s="306">
        <f t="shared" ca="1" si="85"/>
        <v>-28.653948014206982</v>
      </c>
      <c r="AH177" s="304">
        <f t="shared" ca="1" si="86"/>
        <v>-19.064341693145636</v>
      </c>
    </row>
    <row r="178" spans="1:34" x14ac:dyDescent="0.3">
      <c r="A178" s="347">
        <f t="shared" ca="1" si="64"/>
        <v>0.01</v>
      </c>
      <c r="B178" s="304">
        <f t="shared" ca="1" si="65"/>
        <v>1.7400000000000013</v>
      </c>
      <c r="D178" s="306">
        <f t="shared" ca="1" si="66"/>
        <v>-3.9940422447554589</v>
      </c>
      <c r="E178" s="307">
        <f t="shared" ca="1" si="67"/>
        <v>-28.309896748924196</v>
      </c>
      <c r="F178" s="304">
        <f t="shared" ca="1" si="68"/>
        <v>28.590254063013152</v>
      </c>
      <c r="G178" s="306">
        <f t="shared" ca="1" si="69"/>
        <v>16.73113152264575</v>
      </c>
      <c r="H178" s="307">
        <f t="shared" ca="1" si="70"/>
        <v>77.39837767698269</v>
      </c>
      <c r="I178" s="304">
        <f t="shared" ca="1" si="71"/>
        <v>79.186107550863511</v>
      </c>
      <c r="J178" s="306">
        <f t="shared" ca="1" si="72"/>
        <v>25.266119480175568</v>
      </c>
      <c r="K178" s="307">
        <f t="shared" ca="1" si="73"/>
        <v>126.64351068707462</v>
      </c>
      <c r="L178" s="304">
        <f t="shared" ca="1" si="58"/>
        <v>129.13928756475968</v>
      </c>
      <c r="M178" s="306">
        <f t="shared" ca="1" si="74"/>
        <v>1.3579030651433956</v>
      </c>
      <c r="N178" s="304">
        <f t="shared" ca="1" si="75"/>
        <v>77.802114620594665</v>
      </c>
      <c r="P178" s="310">
        <f t="shared" ca="1" si="76"/>
        <v>22</v>
      </c>
      <c r="Q178" s="304">
        <f t="shared" ca="1" si="77"/>
        <v>0</v>
      </c>
      <c r="R178" s="306">
        <f t="shared" ca="1" si="78"/>
        <v>0</v>
      </c>
      <c r="S178" s="307">
        <f t="shared" ca="1" si="79"/>
        <v>0.4270000000000001</v>
      </c>
      <c r="T178" s="304">
        <f t="shared" ca="1" si="59"/>
        <v>4.1888700000000014</v>
      </c>
      <c r="U178" s="311">
        <f t="shared" ca="1" si="60"/>
        <v>0</v>
      </c>
      <c r="V178" s="306">
        <f t="shared" ca="1" si="61"/>
        <v>1.2095837881006548</v>
      </c>
      <c r="W178" s="304">
        <f t="shared" ca="1" si="62"/>
        <v>8.0229473073118616</v>
      </c>
      <c r="Y178" s="314" t="str">
        <f t="shared" ca="1" si="80"/>
        <v/>
      </c>
      <c r="Z178" s="315" t="str">
        <f t="shared" ca="1" si="81"/>
        <v/>
      </c>
      <c r="AA178" s="316" t="str">
        <f t="shared" ca="1" si="82"/>
        <v/>
      </c>
      <c r="AC178" s="310" t="e">
        <f t="shared" ca="1" si="83"/>
        <v>#N/A</v>
      </c>
      <c r="AD178" s="323" t="e">
        <f t="shared" ca="1" si="84"/>
        <v>#N/A</v>
      </c>
      <c r="AE178" s="324">
        <f t="shared" ca="1" si="63"/>
        <v>126.64351068707462</v>
      </c>
      <c r="AG178" s="306">
        <f t="shared" ca="1" si="85"/>
        <v>-28.515202128614703</v>
      </c>
      <c r="AH178" s="304">
        <f t="shared" ca="1" si="86"/>
        <v>-18.926134131769945</v>
      </c>
    </row>
    <row r="179" spans="1:34" x14ac:dyDescent="0.3">
      <c r="A179" s="347">
        <f t="shared" ca="1" si="64"/>
        <v>0.01</v>
      </c>
      <c r="B179" s="304">
        <f t="shared" ca="1" si="65"/>
        <v>1.7500000000000013</v>
      </c>
      <c r="D179" s="306">
        <f t="shared" ca="1" si="66"/>
        <v>-3.9699257356409889</v>
      </c>
      <c r="E179" s="307">
        <f t="shared" ca="1" si="67"/>
        <v>-28.174915189437563</v>
      </c>
      <c r="F179" s="304">
        <f t="shared" ca="1" si="68"/>
        <v>28.453227519536412</v>
      </c>
      <c r="G179" s="306">
        <f t="shared" ca="1" si="69"/>
        <v>16.69143226528934</v>
      </c>
      <c r="H179" s="307">
        <f t="shared" ca="1" si="70"/>
        <v>77.116628525088316</v>
      </c>
      <c r="I179" s="304">
        <f t="shared" ca="1" si="71"/>
        <v>78.902333971456173</v>
      </c>
      <c r="J179" s="306">
        <f t="shared" ca="1" si="72"/>
        <v>25.433232299115243</v>
      </c>
      <c r="K179" s="307">
        <f t="shared" ca="1" si="73"/>
        <v>127.41608571808499</v>
      </c>
      <c r="L179" s="304">
        <f t="shared" ca="1" si="58"/>
        <v>129.92962789486907</v>
      </c>
      <c r="M179" s="306">
        <f t="shared" ca="1" si="74"/>
        <v>1.3576403679214601</v>
      </c>
      <c r="N179" s="304">
        <f t="shared" ca="1" si="75"/>
        <v>77.787063178487941</v>
      </c>
      <c r="P179" s="310">
        <f t="shared" ca="1" si="76"/>
        <v>22</v>
      </c>
      <c r="Q179" s="304">
        <f t="shared" ca="1" si="77"/>
        <v>0</v>
      </c>
      <c r="R179" s="306">
        <f t="shared" ca="1" si="78"/>
        <v>0</v>
      </c>
      <c r="S179" s="307">
        <f t="shared" ca="1" si="79"/>
        <v>0.4270000000000001</v>
      </c>
      <c r="T179" s="304">
        <f t="shared" ca="1" si="59"/>
        <v>4.1888700000000014</v>
      </c>
      <c r="U179" s="311">
        <f t="shared" ca="1" si="60"/>
        <v>0</v>
      </c>
      <c r="V179" s="306">
        <f t="shared" ca="1" si="61"/>
        <v>1.2094903385173812</v>
      </c>
      <c r="W179" s="304">
        <f t="shared" ca="1" si="62"/>
        <v>7.9649324190249233</v>
      </c>
      <c r="Y179" s="314" t="str">
        <f t="shared" ca="1" si="80"/>
        <v/>
      </c>
      <c r="Z179" s="315" t="str">
        <f t="shared" ca="1" si="81"/>
        <v/>
      </c>
      <c r="AA179" s="316" t="str">
        <f t="shared" ca="1" si="82"/>
        <v/>
      </c>
      <c r="AC179" s="310" t="e">
        <f t="shared" ca="1" si="83"/>
        <v>#N/A</v>
      </c>
      <c r="AD179" s="323" t="e">
        <f t="shared" ca="1" si="84"/>
        <v>#N/A</v>
      </c>
      <c r="AE179" s="324">
        <f t="shared" ca="1" si="63"/>
        <v>127.41608571808499</v>
      </c>
      <c r="AG179" s="306">
        <f t="shared" ca="1" si="85"/>
        <v>-28.377630192566347</v>
      </c>
      <c r="AH179" s="304">
        <f t="shared" ca="1" si="86"/>
        <v>-18.789103764196394</v>
      </c>
    </row>
    <row r="180" spans="1:34" x14ac:dyDescent="0.3">
      <c r="A180" s="347">
        <f t="shared" ca="1" si="64"/>
        <v>0.01</v>
      </c>
      <c r="B180" s="304">
        <f t="shared" ca="1" si="65"/>
        <v>1.7600000000000013</v>
      </c>
      <c r="D180" s="306">
        <f t="shared" ca="1" si="66"/>
        <v>-3.9460081197002155</v>
      </c>
      <c r="E180" s="307">
        <f t="shared" ca="1" si="67"/>
        <v>-28.041080322370938</v>
      </c>
      <c r="F180" s="304">
        <f t="shared" ca="1" si="68"/>
        <v>28.317365091519349</v>
      </c>
      <c r="G180" s="306">
        <f t="shared" ca="1" si="69"/>
        <v>16.651972184092337</v>
      </c>
      <c r="H180" s="307">
        <f t="shared" ca="1" si="70"/>
        <v>76.836217721864614</v>
      </c>
      <c r="I180" s="304">
        <f t="shared" ca="1" si="71"/>
        <v>78.619924519307233</v>
      </c>
      <c r="J180" s="306">
        <f t="shared" ca="1" si="72"/>
        <v>25.59994932136215</v>
      </c>
      <c r="K180" s="307">
        <f t="shared" ca="1" si="73"/>
        <v>128.18584994931976</v>
      </c>
      <c r="L180" s="304">
        <f t="shared" ca="1" si="58"/>
        <v>130.71713557328982</v>
      </c>
      <c r="M180" s="306">
        <f t="shared" ca="1" si="74"/>
        <v>1.3573764066909568</v>
      </c>
      <c r="N180" s="304">
        <f t="shared" ca="1" si="75"/>
        <v>77.771939314025019</v>
      </c>
      <c r="P180" s="310">
        <f t="shared" ca="1" si="76"/>
        <v>22</v>
      </c>
      <c r="Q180" s="304">
        <f t="shared" ca="1" si="77"/>
        <v>0</v>
      </c>
      <c r="R180" s="306">
        <f t="shared" ca="1" si="78"/>
        <v>0</v>
      </c>
      <c r="S180" s="307">
        <f t="shared" ca="1" si="79"/>
        <v>0.4270000000000001</v>
      </c>
      <c r="T180" s="304">
        <f t="shared" ca="1" si="59"/>
        <v>4.1888700000000014</v>
      </c>
      <c r="U180" s="311">
        <f t="shared" ca="1" si="60"/>
        <v>0</v>
      </c>
      <c r="V180" s="306">
        <f t="shared" ca="1" si="61"/>
        <v>1.2093972360590746</v>
      </c>
      <c r="W180" s="304">
        <f t="shared" ca="1" si="62"/>
        <v>7.9074091043073391</v>
      </c>
      <c r="Y180" s="314" t="str">
        <f t="shared" ca="1" si="80"/>
        <v/>
      </c>
      <c r="Z180" s="315" t="str">
        <f t="shared" ca="1" si="81"/>
        <v/>
      </c>
      <c r="AA180" s="316" t="str">
        <f t="shared" ca="1" si="82"/>
        <v/>
      </c>
      <c r="AC180" s="310" t="e">
        <f t="shared" ca="1" si="83"/>
        <v>#N/A</v>
      </c>
      <c r="AD180" s="323" t="e">
        <f t="shared" ca="1" si="84"/>
        <v>#N/A</v>
      </c>
      <c r="AE180" s="324">
        <f t="shared" ca="1" si="63"/>
        <v>128.18584994931976</v>
      </c>
      <c r="AG180" s="306">
        <f t="shared" ca="1" si="85"/>
        <v>-28.24121910914338</v>
      </c>
      <c r="AH180" s="304">
        <f t="shared" ca="1" si="86"/>
        <v>-18.653237515280846</v>
      </c>
    </row>
    <row r="181" spans="1:34" x14ac:dyDescent="0.3">
      <c r="A181" s="347">
        <f t="shared" ca="1" si="64"/>
        <v>0.01</v>
      </c>
      <c r="B181" s="304">
        <f t="shared" ca="1" si="65"/>
        <v>1.7700000000000014</v>
      </c>
      <c r="D181" s="306">
        <f t="shared" ca="1" si="66"/>
        <v>-3.9222871723853325</v>
      </c>
      <c r="E181" s="307">
        <f t="shared" ca="1" si="67"/>
        <v>-27.908379447989894</v>
      </c>
      <c r="F181" s="304">
        <f t="shared" ca="1" si="68"/>
        <v>28.182653886311758</v>
      </c>
      <c r="G181" s="306">
        <f t="shared" ca="1" si="69"/>
        <v>16.612749312368482</v>
      </c>
      <c r="H181" s="307">
        <f t="shared" ca="1" si="70"/>
        <v>76.557133927384712</v>
      </c>
      <c r="I181" s="304">
        <f t="shared" ca="1" si="71"/>
        <v>78.338867715145838</v>
      </c>
      <c r="J181" s="306">
        <f t="shared" ca="1" si="72"/>
        <v>25.766272928844455</v>
      </c>
      <c r="K181" s="307">
        <f t="shared" ca="1" si="73"/>
        <v>128.952816707566</v>
      </c>
      <c r="L181" s="304">
        <f t="shared" ca="1" si="58"/>
        <v>131.5018241601949</v>
      </c>
      <c r="M181" s="306">
        <f t="shared" ca="1" si="74"/>
        <v>1.3571111753893341</v>
      </c>
      <c r="N181" s="304">
        <f t="shared" ca="1" si="75"/>
        <v>77.756742679847278</v>
      </c>
      <c r="P181" s="310">
        <f t="shared" ca="1" si="76"/>
        <v>22</v>
      </c>
      <c r="Q181" s="304">
        <f t="shared" ca="1" si="77"/>
        <v>0</v>
      </c>
      <c r="R181" s="306">
        <f t="shared" ca="1" si="78"/>
        <v>0</v>
      </c>
      <c r="S181" s="307">
        <f t="shared" ca="1" si="79"/>
        <v>0.4270000000000001</v>
      </c>
      <c r="T181" s="304">
        <f t="shared" ca="1" si="59"/>
        <v>4.1888700000000014</v>
      </c>
      <c r="U181" s="311">
        <f t="shared" ca="1" si="60"/>
        <v>0</v>
      </c>
      <c r="V181" s="306">
        <f t="shared" ca="1" si="61"/>
        <v>1.2093044790352283</v>
      </c>
      <c r="W181" s="304">
        <f t="shared" ca="1" si="62"/>
        <v>7.8503719347467369</v>
      </c>
      <c r="Y181" s="314" t="str">
        <f t="shared" ca="1" si="80"/>
        <v/>
      </c>
      <c r="Z181" s="315" t="str">
        <f t="shared" ca="1" si="81"/>
        <v/>
      </c>
      <c r="AA181" s="316" t="str">
        <f t="shared" ca="1" si="82"/>
        <v/>
      </c>
      <c r="AC181" s="310" t="e">
        <f t="shared" ca="1" si="83"/>
        <v>#N/A</v>
      </c>
      <c r="AD181" s="323" t="e">
        <f t="shared" ca="1" si="84"/>
        <v>#N/A</v>
      </c>
      <c r="AE181" s="324">
        <f t="shared" ca="1" si="63"/>
        <v>128.952816707566</v>
      </c>
      <c r="AG181" s="306">
        <f t="shared" ca="1" si="85"/>
        <v>-28.105955963873992</v>
      </c>
      <c r="AH181" s="304">
        <f t="shared" ca="1" si="86"/>
        <v>-18.518522492523037</v>
      </c>
    </row>
    <row r="182" spans="1:34" x14ac:dyDescent="0.3">
      <c r="A182" s="347">
        <f t="shared" ca="1" si="64"/>
        <v>0.01</v>
      </c>
      <c r="B182" s="304">
        <f t="shared" ca="1" si="65"/>
        <v>1.7800000000000014</v>
      </c>
      <c r="D182" s="306">
        <f t="shared" ca="1" si="66"/>
        <v>-3.898760700088443</v>
      </c>
      <c r="E182" s="307">
        <f t="shared" ca="1" si="67"/>
        <v>-27.776800043462593</v>
      </c>
      <c r="F182" s="304">
        <f t="shared" ca="1" si="68"/>
        <v>28.049081190852895</v>
      </c>
      <c r="G182" s="306">
        <f t="shared" ca="1" si="69"/>
        <v>16.573761705367598</v>
      </c>
      <c r="H182" s="307">
        <f t="shared" ca="1" si="70"/>
        <v>76.279365926950092</v>
      </c>
      <c r="I182" s="304">
        <f t="shared" ca="1" si="71"/>
        <v>78.059152207052975</v>
      </c>
      <c r="J182" s="306">
        <f t="shared" ca="1" si="72"/>
        <v>25.932205483933135</v>
      </c>
      <c r="K182" s="307">
        <f t="shared" ca="1" si="73"/>
        <v>129.71699920683767</v>
      </c>
      <c r="L182" s="304">
        <f t="shared" ca="1" si="58"/>
        <v>132.28370710139498</v>
      </c>
      <c r="M182" s="306">
        <f t="shared" ca="1" si="74"/>
        <v>1.3568446679086652</v>
      </c>
      <c r="N182" s="304">
        <f t="shared" ca="1" si="75"/>
        <v>77.741472925996291</v>
      </c>
      <c r="P182" s="310">
        <f t="shared" ca="1" si="76"/>
        <v>22</v>
      </c>
      <c r="Q182" s="304">
        <f t="shared" ca="1" si="77"/>
        <v>0</v>
      </c>
      <c r="R182" s="306">
        <f t="shared" ca="1" si="78"/>
        <v>0</v>
      </c>
      <c r="S182" s="307">
        <f t="shared" ca="1" si="79"/>
        <v>0.4270000000000001</v>
      </c>
      <c r="T182" s="304">
        <f t="shared" ca="1" si="59"/>
        <v>4.1888700000000014</v>
      </c>
      <c r="U182" s="311">
        <f t="shared" ca="1" si="60"/>
        <v>0</v>
      </c>
      <c r="V182" s="306">
        <f t="shared" ca="1" si="61"/>
        <v>1.2092120657697636</v>
      </c>
      <c r="W182" s="304">
        <f t="shared" ca="1" si="62"/>
        <v>7.7938155573377124</v>
      </c>
      <c r="Y182" s="314" t="str">
        <f t="shared" ca="1" si="80"/>
        <v/>
      </c>
      <c r="Z182" s="315" t="str">
        <f t="shared" ca="1" si="81"/>
        <v/>
      </c>
      <c r="AA182" s="316" t="str">
        <f t="shared" ca="1" si="82"/>
        <v/>
      </c>
      <c r="AC182" s="310" t="e">
        <f t="shared" ca="1" si="83"/>
        <v>#N/A</v>
      </c>
      <c r="AD182" s="323" t="e">
        <f t="shared" ca="1" si="84"/>
        <v>#N/A</v>
      </c>
      <c r="AE182" s="324">
        <f t="shared" ca="1" si="63"/>
        <v>129.71699920683767</v>
      </c>
      <c r="AG182" s="306">
        <f t="shared" ca="1" si="85"/>
        <v>-27.971828021677908</v>
      </c>
      <c r="AH182" s="304">
        <f t="shared" ca="1" si="86"/>
        <v>-18.384945983013431</v>
      </c>
    </row>
    <row r="183" spans="1:34" x14ac:dyDescent="0.3">
      <c r="A183" s="347">
        <f t="shared" ca="1" si="64"/>
        <v>0.01</v>
      </c>
      <c r="B183" s="304">
        <f t="shared" ca="1" si="65"/>
        <v>1.7900000000000014</v>
      </c>
      <c r="D183" s="306">
        <f t="shared" ca="1" si="66"/>
        <v>-3.8754265396256624</v>
      </c>
      <c r="E183" s="307">
        <f t="shared" ca="1" si="67"/>
        <v>-27.646329759910905</v>
      </c>
      <c r="F183" s="304">
        <f t="shared" ca="1" si="68"/>
        <v>27.916634468677817</v>
      </c>
      <c r="G183" s="306">
        <f t="shared" ca="1" si="69"/>
        <v>16.535007439971341</v>
      </c>
      <c r="H183" s="307">
        <f t="shared" ca="1" si="70"/>
        <v>76.002902629350984</v>
      </c>
      <c r="I183" s="304">
        <f t="shared" ca="1" si="71"/>
        <v>77.78076676869749</v>
      </c>
      <c r="J183" s="306">
        <f t="shared" ca="1" si="72"/>
        <v>26.09774932965983</v>
      </c>
      <c r="K183" s="307">
        <f t="shared" ca="1" si="73"/>
        <v>130.47841054961918</v>
      </c>
      <c r="L183" s="304">
        <f t="shared" ca="1" si="58"/>
        <v>133.0627977296011</v>
      </c>
      <c r="M183" s="306">
        <f t="shared" ca="1" si="74"/>
        <v>1.3565768780952636</v>
      </c>
      <c r="N183" s="304">
        <f t="shared" ca="1" si="75"/>
        <v>77.726129699891786</v>
      </c>
      <c r="P183" s="310">
        <f t="shared" ca="1" si="76"/>
        <v>22</v>
      </c>
      <c r="Q183" s="304">
        <f t="shared" ca="1" si="77"/>
        <v>0</v>
      </c>
      <c r="R183" s="306">
        <f t="shared" ca="1" si="78"/>
        <v>0</v>
      </c>
      <c r="S183" s="307">
        <f t="shared" ca="1" si="79"/>
        <v>0.4270000000000001</v>
      </c>
      <c r="T183" s="304">
        <f t="shared" ca="1" si="59"/>
        <v>4.1888700000000014</v>
      </c>
      <c r="U183" s="311">
        <f t="shared" ca="1" si="60"/>
        <v>0</v>
      </c>
      <c r="V183" s="306">
        <f t="shared" ca="1" si="61"/>
        <v>1.2091199946008717</v>
      </c>
      <c r="W183" s="304">
        <f t="shared" ca="1" si="62"/>
        <v>7.7377346932283704</v>
      </c>
      <c r="Y183" s="314" t="str">
        <f t="shared" ca="1" si="80"/>
        <v/>
      </c>
      <c r="Z183" s="315" t="str">
        <f t="shared" ca="1" si="81"/>
        <v/>
      </c>
      <c r="AA183" s="316" t="str">
        <f t="shared" ca="1" si="82"/>
        <v/>
      </c>
      <c r="AC183" s="310" t="e">
        <f t="shared" ca="1" si="83"/>
        <v>#N/A</v>
      </c>
      <c r="AD183" s="323" t="e">
        <f t="shared" ca="1" si="84"/>
        <v>#N/A</v>
      </c>
      <c r="AE183" s="324">
        <f t="shared" ca="1" si="63"/>
        <v>130.47841054961918</v>
      </c>
      <c r="AG183" s="306">
        <f t="shared" ca="1" si="85"/>
        <v>-27.838822723870692</v>
      </c>
      <c r="AH183" s="304">
        <f t="shared" ca="1" si="86"/>
        <v>-18.252495450439604</v>
      </c>
    </row>
    <row r="184" spans="1:34" x14ac:dyDescent="0.3">
      <c r="A184" s="347">
        <f t="shared" ca="1" si="64"/>
        <v>0.01</v>
      </c>
      <c r="B184" s="304">
        <f t="shared" ca="1" si="65"/>
        <v>1.8000000000000014</v>
      </c>
      <c r="D184" s="306">
        <f t="shared" ca="1" si="66"/>
        <v>-3.8522825577312094</v>
      </c>
      <c r="E184" s="307">
        <f t="shared" ca="1" si="67"/>
        <v>-27.516956419518841</v>
      </c>
      <c r="F184" s="304">
        <f t="shared" ca="1" si="68"/>
        <v>27.785301356981883</v>
      </c>
      <c r="G184" s="306">
        <f t="shared" ca="1" si="69"/>
        <v>16.496484614394028</v>
      </c>
      <c r="H184" s="307">
        <f t="shared" ca="1" si="70"/>
        <v>75.727733065155789</v>
      </c>
      <c r="I184" s="304">
        <f t="shared" ca="1" si="71"/>
        <v>77.503700297601455</v>
      </c>
      <c r="J184" s="306">
        <f t="shared" ca="1" si="72"/>
        <v>26.262906789931659</v>
      </c>
      <c r="K184" s="307">
        <f t="shared" ca="1" si="73"/>
        <v>131.23706372809173</v>
      </c>
      <c r="L184" s="304">
        <f t="shared" ca="1" si="58"/>
        <v>133.83910926566961</v>
      </c>
      <c r="M184" s="306">
        <f t="shared" ca="1" si="74"/>
        <v>1.3563077997492925</v>
      </c>
      <c r="N184" s="304">
        <f t="shared" ca="1" si="75"/>
        <v>77.710712646309275</v>
      </c>
      <c r="P184" s="310">
        <f t="shared" ca="1" si="76"/>
        <v>22</v>
      </c>
      <c r="Q184" s="304">
        <f t="shared" ca="1" si="77"/>
        <v>0</v>
      </c>
      <c r="R184" s="306">
        <f t="shared" ca="1" si="78"/>
        <v>0</v>
      </c>
      <c r="S184" s="307">
        <f t="shared" ca="1" si="79"/>
        <v>0.4270000000000001</v>
      </c>
      <c r="T184" s="304">
        <f t="shared" ca="1" si="59"/>
        <v>4.1888700000000014</v>
      </c>
      <c r="U184" s="311">
        <f t="shared" ca="1" si="60"/>
        <v>0</v>
      </c>
      <c r="V184" s="306">
        <f t="shared" ca="1" si="61"/>
        <v>1.2090282638808547</v>
      </c>
      <c r="W184" s="304">
        <f t="shared" ca="1" si="62"/>
        <v>7.6821241364911357</v>
      </c>
      <c r="Y184" s="314" t="str">
        <f t="shared" ca="1" si="80"/>
        <v/>
      </c>
      <c r="Z184" s="315" t="str">
        <f t="shared" ca="1" si="81"/>
        <v/>
      </c>
      <c r="AA184" s="316" t="str">
        <f t="shared" ca="1" si="82"/>
        <v/>
      </c>
      <c r="AC184" s="310" t="e">
        <f t="shared" ca="1" si="83"/>
        <v>#N/A</v>
      </c>
      <c r="AD184" s="323" t="e">
        <f t="shared" ca="1" si="84"/>
        <v>#N/A</v>
      </c>
      <c r="AE184" s="324">
        <f t="shared" ca="1" si="63"/>
        <v>131.23706372809173</v>
      </c>
      <c r="AG184" s="306">
        <f t="shared" ca="1" si="85"/>
        <v>-27.706927685226155</v>
      </c>
      <c r="AH184" s="304">
        <f t="shared" ca="1" si="86"/>
        <v>-18.121158532150744</v>
      </c>
    </row>
    <row r="185" spans="1:34" x14ac:dyDescent="0.3">
      <c r="A185" s="347">
        <f t="shared" ca="1" si="64"/>
        <v>0.01</v>
      </c>
      <c r="B185" s="304">
        <f t="shared" ca="1" si="65"/>
        <v>1.8100000000000014</v>
      </c>
      <c r="D185" s="306">
        <f t="shared" ca="1" si="66"/>
        <v>-3.8293266505613337</v>
      </c>
      <c r="E185" s="307">
        <f t="shared" ca="1" si="67"/>
        <v>-27.388668012696961</v>
      </c>
      <c r="F185" s="304">
        <f t="shared" ca="1" si="68"/>
        <v>27.655069663742108</v>
      </c>
      <c r="G185" s="306">
        <f t="shared" ca="1" si="69"/>
        <v>16.458191347888416</v>
      </c>
      <c r="H185" s="307">
        <f t="shared" ca="1" si="70"/>
        <v>75.453846385028825</v>
      </c>
      <c r="I185" s="304">
        <f t="shared" ca="1" si="71"/>
        <v>77.227941813434583</v>
      </c>
      <c r="J185" s="306">
        <f t="shared" ca="1" si="72"/>
        <v>26.42768016974307</v>
      </c>
      <c r="K185" s="307">
        <f t="shared" ca="1" si="73"/>
        <v>131.99297162534265</v>
      </c>
      <c r="L185" s="304">
        <f t="shared" ca="1" si="58"/>
        <v>134.61265481983014</v>
      </c>
      <c r="M185" s="306">
        <f t="shared" ca="1" si="74"/>
        <v>1.3560374266243722</v>
      </c>
      <c r="N185" s="304">
        <f t="shared" ca="1" si="75"/>
        <v>77.695221407357579</v>
      </c>
      <c r="P185" s="310">
        <f t="shared" ca="1" si="76"/>
        <v>22</v>
      </c>
      <c r="Q185" s="304">
        <f t="shared" ca="1" si="77"/>
        <v>0</v>
      </c>
      <c r="R185" s="306">
        <f t="shared" ca="1" si="78"/>
        <v>0</v>
      </c>
      <c r="S185" s="307">
        <f t="shared" ca="1" si="79"/>
        <v>0.4270000000000001</v>
      </c>
      <c r="T185" s="304">
        <f t="shared" ca="1" si="59"/>
        <v>4.1888700000000014</v>
      </c>
      <c r="U185" s="311">
        <f t="shared" ca="1" si="60"/>
        <v>0</v>
      </c>
      <c r="V185" s="306">
        <f t="shared" ca="1" si="61"/>
        <v>1.2089368719759701</v>
      </c>
      <c r="W185" s="304">
        <f t="shared" ca="1" si="62"/>
        <v>7.6269787529173456</v>
      </c>
      <c r="Y185" s="314" t="str">
        <f t="shared" ca="1" si="80"/>
        <v/>
      </c>
      <c r="Z185" s="315" t="str">
        <f t="shared" ca="1" si="81"/>
        <v/>
      </c>
      <c r="AA185" s="316" t="str">
        <f t="shared" ca="1" si="82"/>
        <v/>
      </c>
      <c r="AC185" s="310" t="e">
        <f t="shared" ca="1" si="83"/>
        <v>#N/A</v>
      </c>
      <c r="AD185" s="323" t="e">
        <f t="shared" ca="1" si="84"/>
        <v>#N/A</v>
      </c>
      <c r="AE185" s="324">
        <f t="shared" ca="1" si="63"/>
        <v>131.99297162534265</v>
      </c>
      <c r="AG185" s="306">
        <f t="shared" ca="1" si="85"/>
        <v>-27.576130691095571</v>
      </c>
      <c r="AH185" s="304">
        <f t="shared" ca="1" si="86"/>
        <v>-17.990923036279003</v>
      </c>
    </row>
    <row r="186" spans="1:34" x14ac:dyDescent="0.3">
      <c r="A186" s="347">
        <f t="shared" ca="1" si="64"/>
        <v>0.01</v>
      </c>
      <c r="B186" s="304">
        <f t="shared" ca="1" si="65"/>
        <v>1.8200000000000014</v>
      </c>
      <c r="D186" s="306">
        <f t="shared" ca="1" si="66"/>
        <v>-3.8065567432077896</v>
      </c>
      <c r="E186" s="307">
        <f t="shared" ca="1" si="67"/>
        <v>-27.261452695301571</v>
      </c>
      <c r="F186" s="304">
        <f t="shared" ca="1" si="68"/>
        <v>27.525927364894102</v>
      </c>
      <c r="G186" s="306">
        <f t="shared" ca="1" si="69"/>
        <v>16.420125780456338</v>
      </c>
      <c r="H186" s="307">
        <f t="shared" ca="1" si="70"/>
        <v>75.181231858075805</v>
      </c>
      <c r="I186" s="304">
        <f t="shared" ca="1" si="71"/>
        <v>76.953480456336464</v>
      </c>
      <c r="J186" s="306">
        <f t="shared" ca="1" si="72"/>
        <v>26.592071755384794</v>
      </c>
      <c r="K186" s="307">
        <f t="shared" ca="1" si="73"/>
        <v>132.74614701655818</v>
      </c>
      <c r="L186" s="304">
        <f t="shared" ca="1" si="58"/>
        <v>135.38344739289664</v>
      </c>
      <c r="M186" s="306">
        <f t="shared" ca="1" si="74"/>
        <v>1.3557657524271816</v>
      </c>
      <c r="N186" s="304">
        <f t="shared" ca="1" si="75"/>
        <v>77.679655622455954</v>
      </c>
      <c r="P186" s="310">
        <f t="shared" ca="1" si="76"/>
        <v>22</v>
      </c>
      <c r="Q186" s="304">
        <f t="shared" ca="1" si="77"/>
        <v>0</v>
      </c>
      <c r="R186" s="306">
        <f t="shared" ca="1" si="78"/>
        <v>0</v>
      </c>
      <c r="S186" s="307">
        <f t="shared" ca="1" si="79"/>
        <v>0.4270000000000001</v>
      </c>
      <c r="T186" s="304">
        <f t="shared" ca="1" si="59"/>
        <v>4.1888700000000014</v>
      </c>
      <c r="U186" s="311">
        <f t="shared" ca="1" si="60"/>
        <v>0</v>
      </c>
      <c r="V186" s="306">
        <f t="shared" ca="1" si="61"/>
        <v>1.2088458172662768</v>
      </c>
      <c r="W186" s="304">
        <f t="shared" ca="1" si="62"/>
        <v>7.5722934788349869</v>
      </c>
      <c r="Y186" s="314" t="str">
        <f t="shared" ca="1" si="80"/>
        <v/>
      </c>
      <c r="Z186" s="315" t="str">
        <f t="shared" ca="1" si="81"/>
        <v/>
      </c>
      <c r="AA186" s="316" t="str">
        <f t="shared" ca="1" si="82"/>
        <v/>
      </c>
      <c r="AC186" s="310" t="e">
        <f t="shared" ca="1" si="83"/>
        <v>#N/A</v>
      </c>
      <c r="AD186" s="323" t="e">
        <f t="shared" ca="1" si="84"/>
        <v>#N/A</v>
      </c>
      <c r="AE186" s="324">
        <f t="shared" ca="1" si="63"/>
        <v>132.74614701655818</v>
      </c>
      <c r="AG186" s="306">
        <f t="shared" ca="1" si="85"/>
        <v>-27.446419694582517</v>
      </c>
      <c r="AH186" s="304">
        <f t="shared" ca="1" si="86"/>
        <v>-17.861776938916496</v>
      </c>
    </row>
    <row r="187" spans="1:34" x14ac:dyDescent="0.3">
      <c r="A187" s="347">
        <f t="shared" ca="1" si="64"/>
        <v>0.01</v>
      </c>
      <c r="B187" s="304">
        <f t="shared" ca="1" si="65"/>
        <v>1.8300000000000014</v>
      </c>
      <c r="D187" s="306">
        <f t="shared" ca="1" si="66"/>
        <v>-3.7839707892207031</v>
      </c>
      <c r="E187" s="307">
        <f t="shared" ca="1" si="67"/>
        <v>-27.135298785907445</v>
      </c>
      <c r="F187" s="304">
        <f t="shared" ca="1" si="68"/>
        <v>27.397862601563386</v>
      </c>
      <c r="G187" s="306">
        <f t="shared" ca="1" si="69"/>
        <v>16.382286072564131</v>
      </c>
      <c r="H187" s="307">
        <f t="shared" ca="1" si="70"/>
        <v>74.90987887021673</v>
      </c>
      <c r="I187" s="304">
        <f t="shared" ca="1" si="71"/>
        <v>76.680305485267027</v>
      </c>
      <c r="J187" s="306">
        <f t="shared" ca="1" si="72"/>
        <v>26.756083814649894</v>
      </c>
      <c r="K187" s="307">
        <f t="shared" ca="1" si="73"/>
        <v>133.49660257019966</v>
      </c>
      <c r="L187" s="304">
        <f t="shared" ca="1" si="58"/>
        <v>136.15149987746153</v>
      </c>
      <c r="M187" s="306">
        <f t="shared" ca="1" si="74"/>
        <v>1.3554927708170568</v>
      </c>
      <c r="N187" s="304">
        <f t="shared" ca="1" si="75"/>
        <v>77.664014928311119</v>
      </c>
      <c r="P187" s="310">
        <f t="shared" ca="1" si="76"/>
        <v>22</v>
      </c>
      <c r="Q187" s="304">
        <f t="shared" ca="1" si="77"/>
        <v>0</v>
      </c>
      <c r="R187" s="306">
        <f t="shared" ca="1" si="78"/>
        <v>0</v>
      </c>
      <c r="S187" s="307">
        <f t="shared" ca="1" si="79"/>
        <v>0.4270000000000001</v>
      </c>
      <c r="T187" s="304">
        <f t="shared" ca="1" si="59"/>
        <v>4.1888700000000014</v>
      </c>
      <c r="U187" s="311">
        <f t="shared" ca="1" si="60"/>
        <v>0</v>
      </c>
      <c r="V187" s="306">
        <f t="shared" ca="1" si="61"/>
        <v>1.2087550981454842</v>
      </c>
      <c r="W187" s="304">
        <f t="shared" ca="1" si="62"/>
        <v>7.5180633199492295</v>
      </c>
      <c r="Y187" s="314" t="str">
        <f t="shared" ca="1" si="80"/>
        <v/>
      </c>
      <c r="Z187" s="315" t="str">
        <f t="shared" ca="1" si="81"/>
        <v/>
      </c>
      <c r="AA187" s="316" t="str">
        <f t="shared" ca="1" si="82"/>
        <v/>
      </c>
      <c r="AC187" s="310" t="e">
        <f t="shared" ca="1" si="83"/>
        <v>#N/A</v>
      </c>
      <c r="AD187" s="323" t="e">
        <f t="shared" ca="1" si="84"/>
        <v>#N/A</v>
      </c>
      <c r="AE187" s="324">
        <f t="shared" ca="1" si="63"/>
        <v>133.49660257019966</v>
      </c>
      <c r="AG187" s="306">
        <f t="shared" ca="1" si="85"/>
        <v>-27.317782813771991</v>
      </c>
      <c r="AH187" s="304">
        <f t="shared" ca="1" si="86"/>
        <v>-17.73370838134657</v>
      </c>
    </row>
    <row r="188" spans="1:34" x14ac:dyDescent="0.3">
      <c r="A188" s="347">
        <f t="shared" ca="1" si="64"/>
        <v>0.01</v>
      </c>
      <c r="B188" s="304">
        <f t="shared" ca="1" si="65"/>
        <v>1.8400000000000014</v>
      </c>
      <c r="D188" s="306">
        <f t="shared" ca="1" si="66"/>
        <v>-3.7615667701405964</v>
      </c>
      <c r="E188" s="307">
        <f t="shared" ca="1" si="67"/>
        <v>-27.010194763133008</v>
      </c>
      <c r="F188" s="304">
        <f t="shared" ca="1" si="68"/>
        <v>27.270863677349929</v>
      </c>
      <c r="G188" s="306">
        <f t="shared" ca="1" si="69"/>
        <v>16.344670404862725</v>
      </c>
      <c r="H188" s="307">
        <f t="shared" ca="1" si="70"/>
        <v>74.639776922585398</v>
      </c>
      <c r="I188" s="304">
        <f t="shared" ca="1" si="71"/>
        <v>76.408406276383658</v>
      </c>
      <c r="J188" s="306">
        <f t="shared" ca="1" si="72"/>
        <v>26.919718597037029</v>
      </c>
      <c r="K188" s="307">
        <f t="shared" ca="1" si="73"/>
        <v>134.24435084916365</v>
      </c>
      <c r="L188" s="304">
        <f t="shared" ca="1" si="58"/>
        <v>136.91682505907374</v>
      </c>
      <c r="M188" s="306">
        <f t="shared" ca="1" si="74"/>
        <v>1.3552184754055847</v>
      </c>
      <c r="N188" s="304">
        <f t="shared" ca="1" si="75"/>
        <v>77.64829895889396</v>
      </c>
      <c r="P188" s="310">
        <f t="shared" ca="1" si="76"/>
        <v>22</v>
      </c>
      <c r="Q188" s="304">
        <f t="shared" ca="1" si="77"/>
        <v>0</v>
      </c>
      <c r="R188" s="306">
        <f t="shared" ca="1" si="78"/>
        <v>0</v>
      </c>
      <c r="S188" s="307">
        <f t="shared" ca="1" si="79"/>
        <v>0.4270000000000001</v>
      </c>
      <c r="T188" s="304">
        <f t="shared" ca="1" si="59"/>
        <v>4.1888700000000014</v>
      </c>
      <c r="U188" s="311">
        <f t="shared" ca="1" si="60"/>
        <v>0</v>
      </c>
      <c r="V188" s="306">
        <f t="shared" ca="1" si="61"/>
        <v>1.2086647130208006</v>
      </c>
      <c r="W188" s="304">
        <f t="shared" ca="1" si="62"/>
        <v>7.4642833502050641</v>
      </c>
      <c r="Y188" s="314" t="str">
        <f t="shared" ca="1" si="80"/>
        <v/>
      </c>
      <c r="Z188" s="315" t="str">
        <f t="shared" ca="1" si="81"/>
        <v/>
      </c>
      <c r="AA188" s="316" t="str">
        <f t="shared" ca="1" si="82"/>
        <v/>
      </c>
      <c r="AC188" s="310" t="e">
        <f t="shared" ca="1" si="83"/>
        <v>#N/A</v>
      </c>
      <c r="AD188" s="323" t="e">
        <f t="shared" ca="1" si="84"/>
        <v>#N/A</v>
      </c>
      <c r="AE188" s="324">
        <f t="shared" ca="1" si="63"/>
        <v>134.24435084916365</v>
      </c>
      <c r="AG188" s="306">
        <f t="shared" ca="1" si="85"/>
        <v>-27.190208329012762</v>
      </c>
      <c r="AH188" s="304">
        <f t="shared" ca="1" si="86"/>
        <v>-17.606705667328402</v>
      </c>
    </row>
    <row r="189" spans="1:34" x14ac:dyDescent="0.3">
      <c r="A189" s="347">
        <f t="shared" ca="1" si="64"/>
        <v>0.01</v>
      </c>
      <c r="B189" s="304">
        <f t="shared" ca="1" si="65"/>
        <v>1.8500000000000014</v>
      </c>
      <c r="D189" s="306">
        <f t="shared" ca="1" si="66"/>
        <v>-3.7393426950393613</v>
      </c>
      <c r="E189" s="307">
        <f t="shared" ca="1" si="67"/>
        <v>-26.886129263016571</v>
      </c>
      <c r="F189" s="304">
        <f t="shared" ca="1" si="68"/>
        <v>27.144919055664545</v>
      </c>
      <c r="G189" s="306">
        <f t="shared" ca="1" si="69"/>
        <v>16.307276977912331</v>
      </c>
      <c r="H189" s="307">
        <f t="shared" ca="1" si="70"/>
        <v>74.370915629955235</v>
      </c>
      <c r="I189" s="304">
        <f t="shared" ca="1" si="71"/>
        <v>76.137772321445482</v>
      </c>
      <c r="J189" s="306">
        <f t="shared" ca="1" si="72"/>
        <v>27.082978333950905</v>
      </c>
      <c r="K189" s="307">
        <f t="shared" ca="1" si="73"/>
        <v>134.98940431192636</v>
      </c>
      <c r="L189" s="304">
        <f t="shared" ca="1" si="58"/>
        <v>137.67943561740069</v>
      </c>
      <c r="M189" s="306">
        <f t="shared" ca="1" si="74"/>
        <v>1.3549428597561921</v>
      </c>
      <c r="N189" s="304">
        <f t="shared" ca="1" si="75"/>
        <v>77.632507345416002</v>
      </c>
      <c r="P189" s="310">
        <f t="shared" ca="1" si="76"/>
        <v>22</v>
      </c>
      <c r="Q189" s="304">
        <f t="shared" ca="1" si="77"/>
        <v>0</v>
      </c>
      <c r="R189" s="306">
        <f t="shared" ca="1" si="78"/>
        <v>0</v>
      </c>
      <c r="S189" s="307">
        <f t="shared" ca="1" si="79"/>
        <v>0.4270000000000001</v>
      </c>
      <c r="T189" s="304">
        <f t="shared" ca="1" si="59"/>
        <v>4.1888700000000014</v>
      </c>
      <c r="U189" s="311">
        <f t="shared" ca="1" si="60"/>
        <v>0</v>
      </c>
      <c r="V189" s="306">
        <f t="shared" ca="1" si="61"/>
        <v>1.2085746603127887</v>
      </c>
      <c r="W189" s="304">
        <f t="shared" ca="1" si="62"/>
        <v>7.4109487106717982</v>
      </c>
      <c r="Y189" s="314" t="str">
        <f t="shared" ca="1" si="80"/>
        <v/>
      </c>
      <c r="Z189" s="315" t="str">
        <f t="shared" ca="1" si="81"/>
        <v/>
      </c>
      <c r="AA189" s="316" t="str">
        <f t="shared" ca="1" si="82"/>
        <v/>
      </c>
      <c r="AC189" s="310" t="e">
        <f t="shared" ca="1" si="83"/>
        <v>#N/A</v>
      </c>
      <c r="AD189" s="323" t="e">
        <f t="shared" ca="1" si="84"/>
        <v>#N/A</v>
      </c>
      <c r="AE189" s="324">
        <f t="shared" ca="1" si="63"/>
        <v>134.98940431192636</v>
      </c>
      <c r="AG189" s="306">
        <f t="shared" ca="1" si="85"/>
        <v>-27.063684680251555</v>
      </c>
      <c r="AH189" s="304">
        <f t="shared" ca="1" si="86"/>
        <v>-17.4807572604334</v>
      </c>
    </row>
    <row r="190" spans="1:34" x14ac:dyDescent="0.3">
      <c r="A190" s="347">
        <f t="shared" ca="1" si="64"/>
        <v>0.01</v>
      </c>
      <c r="B190" s="304">
        <f t="shared" ca="1" si="65"/>
        <v>1.8600000000000014</v>
      </c>
      <c r="D190" s="306">
        <f t="shared" ca="1" si="66"/>
        <v>-3.7172966000700605</v>
      </c>
      <c r="E190" s="307">
        <f t="shared" ca="1" si="67"/>
        <v>-26.76309107644299</v>
      </c>
      <c r="F190" s="304">
        <f t="shared" ca="1" si="68"/>
        <v>27.020017357116462</v>
      </c>
      <c r="G190" s="306">
        <f t="shared" ca="1" si="69"/>
        <v>16.270104011911631</v>
      </c>
      <c r="H190" s="307">
        <f t="shared" ca="1" si="70"/>
        <v>74.10328471919081</v>
      </c>
      <c r="I190" s="304">
        <f t="shared" ca="1" si="71"/>
        <v>75.868393226243299</v>
      </c>
      <c r="J190" s="306">
        <f t="shared" ca="1" si="72"/>
        <v>27.245865238900024</v>
      </c>
      <c r="K190" s="307">
        <f t="shared" ca="1" si="73"/>
        <v>135.7317753136721</v>
      </c>
      <c r="L190" s="304">
        <f t="shared" ca="1" si="58"/>
        <v>138.43934412737397</v>
      </c>
      <c r="M190" s="306">
        <f t="shared" ca="1" si="74"/>
        <v>1.3546659173837319</v>
      </c>
      <c r="N190" s="304">
        <f t="shared" ca="1" si="75"/>
        <v>77.616639716305698</v>
      </c>
      <c r="P190" s="310">
        <f t="shared" ca="1" si="76"/>
        <v>22</v>
      </c>
      <c r="Q190" s="304">
        <f t="shared" ca="1" si="77"/>
        <v>0</v>
      </c>
      <c r="R190" s="306">
        <f t="shared" ca="1" si="78"/>
        <v>0</v>
      </c>
      <c r="S190" s="307">
        <f t="shared" ca="1" si="79"/>
        <v>0.4270000000000001</v>
      </c>
      <c r="T190" s="304">
        <f t="shared" ca="1" si="59"/>
        <v>4.1888700000000014</v>
      </c>
      <c r="U190" s="311">
        <f t="shared" ca="1" si="60"/>
        <v>0</v>
      </c>
      <c r="V190" s="306">
        <f t="shared" ca="1" si="61"/>
        <v>1.2084849384552199</v>
      </c>
      <c r="W190" s="304">
        <f t="shared" ca="1" si="62"/>
        <v>7.3580546084486711</v>
      </c>
      <c r="Y190" s="314" t="str">
        <f t="shared" ca="1" si="80"/>
        <v/>
      </c>
      <c r="Z190" s="315" t="str">
        <f t="shared" ca="1" si="81"/>
        <v/>
      </c>
      <c r="AA190" s="316" t="str">
        <f t="shared" ca="1" si="82"/>
        <v/>
      </c>
      <c r="AC190" s="310" t="e">
        <f t="shared" ca="1" si="83"/>
        <v>#N/A</v>
      </c>
      <c r="AD190" s="323" t="e">
        <f t="shared" ca="1" si="84"/>
        <v>#N/A</v>
      </c>
      <c r="AE190" s="324">
        <f t="shared" ca="1" si="63"/>
        <v>135.7317753136721</v>
      </c>
      <c r="AG190" s="306">
        <f t="shared" ca="1" si="85"/>
        <v>-26.938200464418383</v>
      </c>
      <c r="AH190" s="304">
        <f t="shared" ca="1" si="86"/>
        <v>-17.355851781432779</v>
      </c>
    </row>
    <row r="191" spans="1:34" x14ac:dyDescent="0.3">
      <c r="A191" s="347">
        <f t="shared" ca="1" si="64"/>
        <v>0.01</v>
      </c>
      <c r="B191" s="304">
        <f t="shared" ca="1" si="65"/>
        <v>1.8700000000000014</v>
      </c>
      <c r="D191" s="306">
        <f t="shared" ca="1" si="66"/>
        <v>-3.6954265480252064</v>
      </c>
      <c r="E191" s="307">
        <f t="shared" ca="1" si="67"/>
        <v>-26.641069146619031</v>
      </c>
      <c r="F191" s="304">
        <f t="shared" ca="1" si="68"/>
        <v>26.896147356950326</v>
      </c>
      <c r="G191" s="306">
        <f t="shared" ca="1" si="69"/>
        <v>16.23314974643138</v>
      </c>
      <c r="H191" s="307">
        <f t="shared" ca="1" si="70"/>
        <v>73.836874027724619</v>
      </c>
      <c r="I191" s="304">
        <f t="shared" ca="1" si="71"/>
        <v>75.600258709055623</v>
      </c>
      <c r="J191" s="306">
        <f t="shared" ca="1" si="72"/>
        <v>27.40838150769174</v>
      </c>
      <c r="K191" s="307">
        <f t="shared" ca="1" si="73"/>
        <v>136.47147610740669</v>
      </c>
      <c r="L191" s="304">
        <f t="shared" ca="1" si="58"/>
        <v>139.19656306032005</v>
      </c>
      <c r="M191" s="306">
        <f t="shared" ca="1" si="74"/>
        <v>1.3543876417540619</v>
      </c>
      <c r="N191" s="304">
        <f t="shared" ca="1" si="75"/>
        <v>77.600695697184264</v>
      </c>
      <c r="P191" s="310">
        <f t="shared" ca="1" si="76"/>
        <v>22</v>
      </c>
      <c r="Q191" s="304">
        <f t="shared" ca="1" si="77"/>
        <v>0</v>
      </c>
      <c r="R191" s="306">
        <f t="shared" ca="1" si="78"/>
        <v>0</v>
      </c>
      <c r="S191" s="307">
        <f t="shared" ca="1" si="79"/>
        <v>0.4270000000000001</v>
      </c>
      <c r="T191" s="304">
        <f t="shared" ca="1" si="59"/>
        <v>4.1888700000000014</v>
      </c>
      <c r="U191" s="311">
        <f t="shared" ca="1" si="60"/>
        <v>0</v>
      </c>
      <c r="V191" s="306">
        <f t="shared" ca="1" si="61"/>
        <v>1.2083955458949267</v>
      </c>
      <c r="W191" s="304">
        <f t="shared" ca="1" si="62"/>
        <v>7.3055963155913402</v>
      </c>
      <c r="Y191" s="314" t="str">
        <f t="shared" ca="1" si="80"/>
        <v/>
      </c>
      <c r="Z191" s="315" t="str">
        <f t="shared" ca="1" si="81"/>
        <v/>
      </c>
      <c r="AA191" s="316" t="str">
        <f t="shared" ca="1" si="82"/>
        <v/>
      </c>
      <c r="AC191" s="310" t="e">
        <f t="shared" ca="1" si="83"/>
        <v>#N/A</v>
      </c>
      <c r="AD191" s="323" t="e">
        <f t="shared" ca="1" si="84"/>
        <v>#N/A</v>
      </c>
      <c r="AE191" s="324">
        <f t="shared" ca="1" si="63"/>
        <v>136.47147610740669</v>
      </c>
      <c r="AG191" s="306">
        <f t="shared" ca="1" si="85"/>
        <v>-26.813744432861249</v>
      </c>
      <c r="AH191" s="304">
        <f t="shared" ca="1" si="86"/>
        <v>-17.231978005734589</v>
      </c>
    </row>
    <row r="192" spans="1:34" x14ac:dyDescent="0.3">
      <c r="A192" s="347">
        <f t="shared" ca="1" si="64"/>
        <v>0.01</v>
      </c>
      <c r="B192" s="304">
        <f t="shared" ca="1" si="65"/>
        <v>1.8800000000000014</v>
      </c>
      <c r="D192" s="306">
        <f t="shared" ca="1" si="66"/>
        <v>-3.6737306279035411</v>
      </c>
      <c r="E192" s="307">
        <f t="shared" ca="1" si="67"/>
        <v>-26.520052566596888</v>
      </c>
      <c r="F192" s="304">
        <f t="shared" ca="1" si="68"/>
        <v>26.773297982532124</v>
      </c>
      <c r="G192" s="306">
        <f t="shared" ca="1" si="69"/>
        <v>16.196412440152343</v>
      </c>
      <c r="H192" s="307">
        <f t="shared" ca="1" si="70"/>
        <v>73.571673502058644</v>
      </c>
      <c r="I192" s="304">
        <f t="shared" ca="1" si="71"/>
        <v>75.333358599129511</v>
      </c>
      <c r="J192" s="306">
        <f t="shared" ca="1" si="72"/>
        <v>27.570529318624658</v>
      </c>
      <c r="K192" s="307">
        <f t="shared" ca="1" si="73"/>
        <v>137.20851884505561</v>
      </c>
      <c r="L192" s="304">
        <f t="shared" ca="1" si="58"/>
        <v>139.9511047850753</v>
      </c>
      <c r="M192" s="306">
        <f t="shared" ca="1" si="74"/>
        <v>1.3541080262836236</v>
      </c>
      <c r="N192" s="304">
        <f t="shared" ca="1" si="75"/>
        <v>77.584674910841585</v>
      </c>
      <c r="P192" s="310">
        <f t="shared" ca="1" si="76"/>
        <v>22</v>
      </c>
      <c r="Q192" s="304">
        <f t="shared" ca="1" si="77"/>
        <v>0</v>
      </c>
      <c r="R192" s="306">
        <f t="shared" ca="1" si="78"/>
        <v>0</v>
      </c>
      <c r="S192" s="307">
        <f t="shared" ca="1" si="79"/>
        <v>0.4270000000000001</v>
      </c>
      <c r="T192" s="304">
        <f t="shared" ca="1" si="59"/>
        <v>4.1888700000000014</v>
      </c>
      <c r="U192" s="311">
        <f t="shared" ca="1" si="60"/>
        <v>0</v>
      </c>
      <c r="V192" s="306">
        <f t="shared" ca="1" si="61"/>
        <v>1.2083064810916671</v>
      </c>
      <c r="W192" s="304">
        <f t="shared" ca="1" si="62"/>
        <v>7.2535691680586813</v>
      </c>
      <c r="Y192" s="314" t="str">
        <f t="shared" ca="1" si="80"/>
        <v/>
      </c>
      <c r="Z192" s="315" t="str">
        <f t="shared" ca="1" si="81"/>
        <v/>
      </c>
      <c r="AA192" s="316" t="str">
        <f t="shared" ca="1" si="82"/>
        <v/>
      </c>
      <c r="AC192" s="310" t="e">
        <f t="shared" ca="1" si="83"/>
        <v>#N/A</v>
      </c>
      <c r="AD192" s="323" t="e">
        <f t="shared" ca="1" si="84"/>
        <v>#N/A</v>
      </c>
      <c r="AE192" s="324">
        <f t="shared" ca="1" si="63"/>
        <v>137.20851884505561</v>
      </c>
      <c r="AG192" s="306">
        <f t="shared" ca="1" si="85"/>
        <v>-26.690305488829786</v>
      </c>
      <c r="AH192" s="304">
        <f t="shared" ca="1" si="86"/>
        <v>-17.109124860869645</v>
      </c>
    </row>
    <row r="193" spans="1:34" x14ac:dyDescent="0.3">
      <c r="A193" s="347">
        <f t="shared" ca="1" si="64"/>
        <v>0.01</v>
      </c>
      <c r="B193" s="304">
        <f t="shared" ca="1" si="65"/>
        <v>1.8900000000000015</v>
      </c>
      <c r="D193" s="306">
        <f t="shared" ca="1" si="66"/>
        <v>-3.6522069544849258</v>
      </c>
      <c r="E193" s="307">
        <f t="shared" ca="1" si="67"/>
        <v>-26.40003057684455</v>
      </c>
      <c r="F193" s="304">
        <f t="shared" ca="1" si="68"/>
        <v>26.651458310882639</v>
      </c>
      <c r="G193" s="306">
        <f t="shared" ca="1" si="69"/>
        <v>16.159890370607496</v>
      </c>
      <c r="H193" s="307">
        <f t="shared" ca="1" si="70"/>
        <v>73.307673196290196</v>
      </c>
      <c r="I193" s="304">
        <f t="shared" ca="1" si="71"/>
        <v>75.067682835186389</v>
      </c>
      <c r="J193" s="306">
        <f t="shared" ca="1" si="72"/>
        <v>27.732310832678458</v>
      </c>
      <c r="K193" s="307">
        <f t="shared" ca="1" si="73"/>
        <v>137.94291557854734</v>
      </c>
      <c r="L193" s="304">
        <f t="shared" ca="1" si="58"/>
        <v>140.70298156908592</v>
      </c>
      <c r="M193" s="306">
        <f t="shared" ca="1" si="74"/>
        <v>1.3538270643390118</v>
      </c>
      <c r="N193" s="304">
        <f t="shared" ca="1" si="75"/>
        <v>77.568576977211535</v>
      </c>
      <c r="P193" s="310">
        <f t="shared" ca="1" si="76"/>
        <v>22</v>
      </c>
      <c r="Q193" s="304">
        <f t="shared" ca="1" si="77"/>
        <v>0</v>
      </c>
      <c r="R193" s="306">
        <f t="shared" ca="1" si="78"/>
        <v>0</v>
      </c>
      <c r="S193" s="307">
        <f t="shared" ca="1" si="79"/>
        <v>0.4270000000000001</v>
      </c>
      <c r="T193" s="304">
        <f t="shared" ca="1" si="59"/>
        <v>4.1888700000000014</v>
      </c>
      <c r="U193" s="311">
        <f t="shared" ca="1" si="60"/>
        <v>0</v>
      </c>
      <c r="V193" s="306">
        <f t="shared" ca="1" si="61"/>
        <v>1.208217742517981</v>
      </c>
      <c r="W193" s="304">
        <f t="shared" ca="1" si="62"/>
        <v>7.2019685646795013</v>
      </c>
      <c r="Y193" s="314" t="str">
        <f t="shared" ca="1" si="80"/>
        <v/>
      </c>
      <c r="Z193" s="315" t="str">
        <f t="shared" ca="1" si="81"/>
        <v/>
      </c>
      <c r="AA193" s="316" t="str">
        <f t="shared" ca="1" si="82"/>
        <v/>
      </c>
      <c r="AC193" s="310" t="e">
        <f t="shared" ca="1" si="83"/>
        <v>#N/A</v>
      </c>
      <c r="AD193" s="323" t="e">
        <f t="shared" ca="1" si="84"/>
        <v>#N/A</v>
      </c>
      <c r="AE193" s="324">
        <f t="shared" ca="1" si="63"/>
        <v>137.94291557854734</v>
      </c>
      <c r="AG193" s="306">
        <f t="shared" ca="1" si="85"/>
        <v>-26.567872685006375</v>
      </c>
      <c r="AH193" s="304">
        <f t="shared" ca="1" si="86"/>
        <v>-16.98728142402501</v>
      </c>
    </row>
    <row r="194" spans="1:34" x14ac:dyDescent="0.3">
      <c r="A194" s="347">
        <f t="shared" ca="1" si="64"/>
        <v>0.01</v>
      </c>
      <c r="B194" s="304">
        <f t="shared" ca="1" si="65"/>
        <v>1.9000000000000015</v>
      </c>
      <c r="D194" s="306">
        <f t="shared" ca="1" si="66"/>
        <v>-3.6308536679133514</v>
      </c>
      <c r="E194" s="307">
        <f t="shared" ca="1" si="67"/>
        <v>-26.280992562862139</v>
      </c>
      <c r="F194" s="304">
        <f t="shared" ca="1" si="68"/>
        <v>26.530617566257572</v>
      </c>
      <c r="G194" s="306">
        <f t="shared" ca="1" si="69"/>
        <v>16.123581833928363</v>
      </c>
      <c r="H194" s="307">
        <f t="shared" ca="1" si="70"/>
        <v>73.04486327066158</v>
      </c>
      <c r="I194" s="304">
        <f t="shared" ca="1" si="71"/>
        <v>74.803221463951871</v>
      </c>
      <c r="J194" s="306">
        <f t="shared" ca="1" si="72"/>
        <v>27.893728193701136</v>
      </c>
      <c r="K194" s="307">
        <f t="shared" ca="1" si="73"/>
        <v>138.6746782608821</v>
      </c>
      <c r="L194" s="304">
        <f t="shared" ca="1" si="58"/>
        <v>141.45220557949335</v>
      </c>
      <c r="M194" s="306">
        <f t="shared" ca="1" si="74"/>
        <v>1.3535447492365429</v>
      </c>
      <c r="N194" s="304">
        <f t="shared" ca="1" si="75"/>
        <v>77.552401513347263</v>
      </c>
      <c r="P194" s="310">
        <f t="shared" ca="1" si="76"/>
        <v>22</v>
      </c>
      <c r="Q194" s="304">
        <f t="shared" ca="1" si="77"/>
        <v>0</v>
      </c>
      <c r="R194" s="306">
        <f t="shared" ca="1" si="78"/>
        <v>0</v>
      </c>
      <c r="S194" s="307">
        <f t="shared" ca="1" si="79"/>
        <v>0.4270000000000001</v>
      </c>
      <c r="T194" s="304">
        <f t="shared" ca="1" si="59"/>
        <v>4.1888700000000014</v>
      </c>
      <c r="U194" s="311">
        <f t="shared" ca="1" si="60"/>
        <v>0</v>
      </c>
      <c r="V194" s="306">
        <f t="shared" ca="1" si="61"/>
        <v>1.2081293286590546</v>
      </c>
      <c r="W194" s="304">
        <f t="shared" ca="1" si="62"/>
        <v>7.1507899661387055</v>
      </c>
      <c r="Y194" s="314" t="str">
        <f t="shared" ca="1" si="80"/>
        <v/>
      </c>
      <c r="Z194" s="315" t="str">
        <f t="shared" ca="1" si="81"/>
        <v/>
      </c>
      <c r="AA194" s="316" t="str">
        <f t="shared" ca="1" si="82"/>
        <v/>
      </c>
      <c r="AC194" s="310" t="e">
        <f t="shared" ca="1" si="83"/>
        <v>#N/A</v>
      </c>
      <c r="AD194" s="323" t="e">
        <f t="shared" ca="1" si="84"/>
        <v>#N/A</v>
      </c>
      <c r="AE194" s="324">
        <f t="shared" ca="1" si="63"/>
        <v>138.6746782608821</v>
      </c>
      <c r="AG194" s="306">
        <f t="shared" ca="1" si="85"/>
        <v>-26.446435221083899</v>
      </c>
      <c r="AH194" s="304">
        <f t="shared" ca="1" si="86"/>
        <v>-16.866436919624121</v>
      </c>
    </row>
    <row r="195" spans="1:34" x14ac:dyDescent="0.3">
      <c r="A195" s="347">
        <f t="shared" ca="1" si="64"/>
        <v>0.01</v>
      </c>
      <c r="B195" s="304">
        <f t="shared" ca="1" si="65"/>
        <v>1.9100000000000015</v>
      </c>
      <c r="D195" s="306">
        <f t="shared" ca="1" si="66"/>
        <v>-3.609668933287741</v>
      </c>
      <c r="E195" s="307">
        <f t="shared" ca="1" si="67"/>
        <v>-26.162928052843064</v>
      </c>
      <c r="F195" s="304">
        <f t="shared" ca="1" si="68"/>
        <v>26.410765117773195</v>
      </c>
      <c r="G195" s="306">
        <f t="shared" ca="1" si="69"/>
        <v>16.087485144595487</v>
      </c>
      <c r="H195" s="307">
        <f t="shared" ca="1" si="70"/>
        <v>72.783233990133155</v>
      </c>
      <c r="I195" s="304">
        <f t="shared" ca="1" si="71"/>
        <v>74.539964638709449</v>
      </c>
      <c r="J195" s="306">
        <f t="shared" ca="1" si="72"/>
        <v>28.054783528593756</v>
      </c>
      <c r="K195" s="307">
        <f t="shared" ca="1" si="73"/>
        <v>139.40381874718608</v>
      </c>
      <c r="L195" s="304">
        <f t="shared" ca="1" si="58"/>
        <v>142.1987888842045</v>
      </c>
      <c r="M195" s="306">
        <f t="shared" ca="1" si="74"/>
        <v>1.3532610742418167</v>
      </c>
      <c r="N195" s="304">
        <f t="shared" ca="1" si="75"/>
        <v>77.536148133396054</v>
      </c>
      <c r="P195" s="310">
        <f t="shared" ca="1" si="76"/>
        <v>22</v>
      </c>
      <c r="Q195" s="304">
        <f t="shared" ca="1" si="77"/>
        <v>0</v>
      </c>
      <c r="R195" s="306">
        <f t="shared" ca="1" si="78"/>
        <v>0</v>
      </c>
      <c r="S195" s="307">
        <f t="shared" ca="1" si="79"/>
        <v>0.4270000000000001</v>
      </c>
      <c r="T195" s="304">
        <f t="shared" ca="1" si="59"/>
        <v>4.1888700000000014</v>
      </c>
      <c r="U195" s="311">
        <f t="shared" ca="1" si="60"/>
        <v>0</v>
      </c>
      <c r="V195" s="306">
        <f t="shared" ca="1" si="61"/>
        <v>1.2080412380125833</v>
      </c>
      <c r="W195" s="304">
        <f t="shared" ca="1" si="62"/>
        <v>7.100028893982512</v>
      </c>
      <c r="Y195" s="314" t="str">
        <f t="shared" ca="1" si="80"/>
        <v/>
      </c>
      <c r="Z195" s="315" t="str">
        <f t="shared" ca="1" si="81"/>
        <v/>
      </c>
      <c r="AA195" s="316" t="str">
        <f t="shared" ca="1" si="82"/>
        <v/>
      </c>
      <c r="AC195" s="310" t="e">
        <f t="shared" ca="1" si="83"/>
        <v>#N/A</v>
      </c>
      <c r="AD195" s="323" t="e">
        <f t="shared" ca="1" si="84"/>
        <v>#N/A</v>
      </c>
      <c r="AE195" s="324">
        <f t="shared" ca="1" si="63"/>
        <v>139.40381874718608</v>
      </c>
      <c r="AG195" s="306">
        <f t="shared" ca="1" si="85"/>
        <v>-26.325982441389023</v>
      </c>
      <c r="AH195" s="304">
        <f t="shared" ca="1" si="86"/>
        <v>-16.746580716952469</v>
      </c>
    </row>
    <row r="196" spans="1:34" x14ac:dyDescent="0.3">
      <c r="A196" s="347">
        <f t="shared" ca="1" si="64"/>
        <v>0.01</v>
      </c>
      <c r="B196" s="304">
        <f t="shared" ca="1" si="65"/>
        <v>1.9200000000000015</v>
      </c>
      <c r="D196" s="306">
        <f t="shared" ca="1" si="66"/>
        <v>-3.5886509402604729</v>
      </c>
      <c r="E196" s="307">
        <f t="shared" ca="1" si="67"/>
        <v>-26.045826715379192</v>
      </c>
      <c r="F196" s="304">
        <f t="shared" ca="1" si="68"/>
        <v>26.291890477076631</v>
      </c>
      <c r="G196" s="306">
        <f t="shared" ca="1" si="69"/>
        <v>16.051598635192882</v>
      </c>
      <c r="H196" s="307">
        <f t="shared" ca="1" si="70"/>
        <v>72.522775722979361</v>
      </c>
      <c r="I196" s="304">
        <f t="shared" ca="1" si="71"/>
        <v>74.277902617877487</v>
      </c>
      <c r="J196" s="306">
        <f t="shared" ca="1" si="72"/>
        <v>28.215478947492699</v>
      </c>
      <c r="K196" s="307">
        <f t="shared" ca="1" si="73"/>
        <v>140.13034879575164</v>
      </c>
      <c r="L196" s="304">
        <f t="shared" ref="L196:L259" ca="1" si="87">SQRT(pos_x^2+pos_z^2)</f>
        <v>142.94274345294838</v>
      </c>
      <c r="M196" s="306">
        <f t="shared" ca="1" si="74"/>
        <v>1.3529760325692755</v>
      </c>
      <c r="N196" s="304">
        <f t="shared" ca="1" si="75"/>
        <v>77.51981644857409</v>
      </c>
      <c r="P196" s="310">
        <f t="shared" ca="1" si="76"/>
        <v>22</v>
      </c>
      <c r="Q196" s="304">
        <f t="shared" ca="1" si="77"/>
        <v>0</v>
      </c>
      <c r="R196" s="306">
        <f t="shared" ca="1" si="78"/>
        <v>0</v>
      </c>
      <c r="S196" s="307">
        <f t="shared" ca="1" si="79"/>
        <v>0.4270000000000001</v>
      </c>
      <c r="T196" s="304">
        <f t="shared" ref="T196:T259" ca="1" si="88">m*g</f>
        <v>4.1888700000000014</v>
      </c>
      <c r="U196" s="311">
        <f t="shared" ref="U196:U259" ca="1" si="89">IF(pos_xz&lt;L_rampe,Poids*COS(Beta),0)</f>
        <v>0</v>
      </c>
      <c r="V196" s="306">
        <f t="shared" ref="V196:V259" ca="1" si="90">Rho_moyen*(20000-Alt_rampe-pos_z)/(20000+Alt_rampe+pos_z)</f>
        <v>1.2079534690886389</v>
      </c>
      <c r="W196" s="304">
        <f t="shared" ref="W196:W259" ca="1" si="91">1/2*Rho*Sref*Cx*vit_xz^2</f>
        <v>7.0496809296423457</v>
      </c>
      <c r="Y196" s="314" t="str">
        <f t="shared" ca="1" si="80"/>
        <v/>
      </c>
      <c r="Z196" s="315" t="str">
        <f t="shared" ca="1" si="81"/>
        <v/>
      </c>
      <c r="AA196" s="316" t="str">
        <f t="shared" ca="1" si="82"/>
        <v/>
      </c>
      <c r="AC196" s="310" t="e">
        <f t="shared" ca="1" si="83"/>
        <v>#N/A</v>
      </c>
      <c r="AD196" s="323" t="e">
        <f t="shared" ca="1" si="84"/>
        <v>#N/A</v>
      </c>
      <c r="AE196" s="324">
        <f t="shared" ref="AE196:AE259" ca="1" si="92">IF(t&lt;T_para, pos_z, NA())</f>
        <v>140.13034879575164</v>
      </c>
      <c r="AG196" s="306">
        <f t="shared" ca="1" si="85"/>
        <v>-26.206503832550048</v>
      </c>
      <c r="AH196" s="304">
        <f t="shared" ca="1" si="86"/>
        <v>-16.627702327827894</v>
      </c>
    </row>
    <row r="197" spans="1:34" x14ac:dyDescent="0.3">
      <c r="A197" s="347">
        <f t="shared" ref="A197:A260" ca="1" si="93">IF(B196+0.01&lt;=T_ini+ROUNDUP(Temps_fin_propu,0), 0.01, IF(K196&gt;0, 0.1, 0.0001))</f>
        <v>0.01</v>
      </c>
      <c r="B197" s="304">
        <f t="shared" ref="B197:B260" ca="1" si="94">B196+pas</f>
        <v>1.9300000000000015</v>
      </c>
      <c r="D197" s="306">
        <f t="shared" ref="D197:D260" ca="1" si="95">IF(AND(L196&lt;L_rampe,Poussee&lt;Poids*SIN(M196)),0,(-W196+Poussee)/m*COS(M196)-U196/m*SIN(M196))</f>
        <v>-3.5677979026434246</v>
      </c>
      <c r="E197" s="307">
        <f t="shared" ref="E197:E260" ca="1" si="96">IF(AND(L196&lt;L_rampe,Poussee&lt;Poids*SIN(M196)),0,(-W196+Poussee)/m*SIN(M196)+U196/m*COS(M196)-Poids/m)</f>
        <v>-25.929678357209063</v>
      </c>
      <c r="F197" s="304">
        <f t="shared" ref="F197:F260" ca="1" si="97">SQRT(acc_x^2+acc_z^2)</f>
        <v>26.173983296059905</v>
      </c>
      <c r="G197" s="306">
        <f t="shared" ref="G197:G260" ca="1" si="98">G196+acc_x*pas</f>
        <v>16.015920656166447</v>
      </c>
      <c r="H197" s="307">
        <f t="shared" ref="H197:H260" ca="1" si="99">H196+acc_z*pas</f>
        <v>72.263478939407264</v>
      </c>
      <c r="I197" s="304">
        <f t="shared" ref="I197:I260" ca="1" si="100">SQRT(vit_x^2+vit_z^2)</f>
        <v>74.017025763609112</v>
      </c>
      <c r="J197" s="306">
        <f t="shared" ref="J197:J260" ca="1" si="101">J196+0.5*(vit_x+G196)*pas*(K196&gt;=0)</f>
        <v>28.375816543949494</v>
      </c>
      <c r="K197" s="307">
        <f t="shared" ref="K197:K260" ca="1" si="102">K196+0.5*(vit_z+H196)*pas</f>
        <v>140.85428006906358</v>
      </c>
      <c r="L197" s="304">
        <f t="shared" ca="1" si="87"/>
        <v>143.68408115831789</v>
      </c>
      <c r="M197" s="306">
        <f t="shared" ref="M197:M260" ca="1" si="103">IF(AND(L196&gt;L_rampe,G197&gt;0),ATAN2(G197,H197),$M$4)</f>
        <v>1.3526896173817557</v>
      </c>
      <c r="N197" s="304">
        <f t="shared" ref="N197:N260" ca="1" si="104">DEGREES(Beta)</f>
        <v>77.503406067140773</v>
      </c>
      <c r="P197" s="310">
        <f t="shared" ref="P197:P260" ca="1" si="105">MATCH(t-pas/2-T_ini,CdP_t)</f>
        <v>22</v>
      </c>
      <c r="Q197" s="304">
        <f t="shared" ref="Q197:Q260" ca="1" si="106">(INDEX(CdP,2,i_P+1)-INDEX(CdP,2,i_P+0))/(INDEX(CdP,1,i_P+1)-INDEX(CdP,1,i_P+0))*(t-pas/2-T_ini-INDEX(CdP,1,i_P+0))+INDEX(CdP,2,i_P+0)</f>
        <v>0</v>
      </c>
      <c r="R197" s="306">
        <f t="shared" ref="R197:R260" ca="1" si="107">Poussee/(g*ISP)</f>
        <v>0</v>
      </c>
      <c r="S197" s="307">
        <f t="shared" ref="S197:S260" ca="1" si="108">S196-Débit*pas</f>
        <v>0.4270000000000001</v>
      </c>
      <c r="T197" s="304">
        <f t="shared" ca="1" si="88"/>
        <v>4.1888700000000014</v>
      </c>
      <c r="U197" s="311">
        <f t="shared" ca="1" si="89"/>
        <v>0</v>
      </c>
      <c r="V197" s="306">
        <f t="shared" ca="1" si="90"/>
        <v>1.2078660204095366</v>
      </c>
      <c r="W197" s="304">
        <f t="shared" ca="1" si="91"/>
        <v>6.9997417134769355</v>
      </c>
      <c r="Y197" s="314" t="str">
        <f t="shared" ref="Y197:Y260" ca="1" si="109">IF(AND(pos_z&lt;=0,K196&gt;0),"Impact balistique","") &amp; IF(AND(H198&lt;0,vit_z&gt;=0),"Apogée","") &amp; IF(AND(Poussee=0,Q196&gt;0),"Fin de propulsion","") &amp; IF(AND(L198&gt;L_rampe,pos_xz&lt;=L_rampe),"Sortie de rampe","")</f>
        <v/>
      </c>
      <c r="Z197" s="315" t="str">
        <f t="shared" ref="Z197:Z260" ca="1" si="110">IF(ABS(t-T_para)&lt;pas/2,"Para","")</f>
        <v/>
      </c>
      <c r="AA197" s="316" t="str">
        <f t="shared" ref="AA197:AA260" ca="1" si="111">IF(ABS(t-T_satellite)&lt;pas/2,"Satellite","")</f>
        <v/>
      </c>
      <c r="AC197" s="310" t="e">
        <f t="shared" ref="AC197:AC260" ca="1" si="112">IF(ABS(t-ROUND(t,0))&lt;0.001,t,NA())</f>
        <v>#N/A</v>
      </c>
      <c r="AD197" s="323" t="e">
        <f t="shared" ref="AD197:AD260" ca="1" si="113">IF(ABS(t-ROUND(t,0))&lt;0.001,pos_x,NA())</f>
        <v>#N/A</v>
      </c>
      <c r="AE197" s="324">
        <f t="shared" ca="1" si="92"/>
        <v>140.85428006906358</v>
      </c>
      <c r="AG197" s="306">
        <f t="shared" ref="AG197:AG260" ca="1" si="114">IF(AND(L196&lt;L_rampe,Poussee&lt;Poids*SIN(M196)),0,(-W196+Poussee)/m-Poids*SIN(M196)/m)</f>
        <v>-26.087989021208472</v>
      </c>
      <c r="AH197" s="304">
        <f t="shared" ref="AH197:AH260" ca="1" si="115">IF(AND(L196&lt;L_rampe,Poussee&lt;Poids*SIN(M196)), g*SIN(M196), (-W196+Poussee)/m)</f>
        <v>-16.509791404314623</v>
      </c>
    </row>
    <row r="198" spans="1:34" x14ac:dyDescent="0.3">
      <c r="A198" s="347">
        <f t="shared" ca="1" si="93"/>
        <v>0.01</v>
      </c>
      <c r="B198" s="304">
        <f t="shared" ca="1" si="94"/>
        <v>1.9400000000000015</v>
      </c>
      <c r="D198" s="306">
        <f t="shared" ca="1" si="95"/>
        <v>-3.547108058021379</v>
      </c>
      <c r="E198" s="307">
        <f t="shared" ca="1" si="96"/>
        <v>-25.814472921008068</v>
      </c>
      <c r="F198" s="304">
        <f t="shared" ca="1" si="97"/>
        <v>26.05703336461653</v>
      </c>
      <c r="G198" s="306">
        <f t="shared" ca="1" si="98"/>
        <v>15.980449575586233</v>
      </c>
      <c r="H198" s="307">
        <f t="shared" ca="1" si="99"/>
        <v>72.005334210197177</v>
      </c>
      <c r="I198" s="304">
        <f t="shared" ca="1" si="100"/>
        <v>73.757324540414601</v>
      </c>
      <c r="J198" s="306">
        <f t="shared" ca="1" si="101"/>
        <v>28.535798395108259</v>
      </c>
      <c r="K198" s="307">
        <f t="shared" ca="1" si="102"/>
        <v>141.57562413481159</v>
      </c>
      <c r="L198" s="304">
        <f t="shared" ca="1" si="87"/>
        <v>144.42281377679814</v>
      </c>
      <c r="M198" s="306">
        <f t="shared" ca="1" si="103"/>
        <v>1.3524018217900375</v>
      </c>
      <c r="N198" s="304">
        <f t="shared" ca="1" si="104"/>
        <v>77.486916594372843</v>
      </c>
      <c r="P198" s="310">
        <f t="shared" ca="1" si="105"/>
        <v>22</v>
      </c>
      <c r="Q198" s="304">
        <f t="shared" ca="1" si="106"/>
        <v>0</v>
      </c>
      <c r="R198" s="306">
        <f t="shared" ca="1" si="107"/>
        <v>0</v>
      </c>
      <c r="S198" s="307">
        <f t="shared" ca="1" si="108"/>
        <v>0.4270000000000001</v>
      </c>
      <c r="T198" s="304">
        <f t="shared" ca="1" si="88"/>
        <v>4.1888700000000014</v>
      </c>
      <c r="U198" s="311">
        <f t="shared" ca="1" si="89"/>
        <v>0</v>
      </c>
      <c r="V198" s="306">
        <f t="shared" ca="1" si="90"/>
        <v>1.2077788905097049</v>
      </c>
      <c r="W198" s="304">
        <f t="shared" ca="1" si="91"/>
        <v>6.9502069438323026</v>
      </c>
      <c r="Y198" s="314" t="str">
        <f t="shared" ca="1" si="109"/>
        <v/>
      </c>
      <c r="Z198" s="315" t="str">
        <f t="shared" ca="1" si="110"/>
        <v/>
      </c>
      <c r="AA198" s="316" t="str">
        <f t="shared" ca="1" si="111"/>
        <v/>
      </c>
      <c r="AC198" s="310" t="e">
        <f t="shared" ca="1" si="112"/>
        <v>#N/A</v>
      </c>
      <c r="AD198" s="323" t="e">
        <f t="shared" ca="1" si="113"/>
        <v>#N/A</v>
      </c>
      <c r="AE198" s="324">
        <f t="shared" ca="1" si="92"/>
        <v>141.57562413481159</v>
      </c>
      <c r="AG198" s="306">
        <f t="shared" ca="1" si="114"/>
        <v>-25.970427771773174</v>
      </c>
      <c r="AH198" s="304">
        <f t="shared" ca="1" si="115"/>
        <v>-16.39283773647994</v>
      </c>
    </row>
    <row r="199" spans="1:34" x14ac:dyDescent="0.3">
      <c r="A199" s="347">
        <f t="shared" ca="1" si="93"/>
        <v>0.01</v>
      </c>
      <c r="B199" s="304">
        <f t="shared" ca="1" si="94"/>
        <v>1.9500000000000015</v>
      </c>
      <c r="D199" s="306">
        <f t="shared" ca="1" si="95"/>
        <v>-3.5265796673726415</v>
      </c>
      <c r="E199" s="307">
        <f t="shared" ca="1" si="96"/>
        <v>-25.700200483219994</v>
      </c>
      <c r="F199" s="304">
        <f t="shared" ca="1" si="97"/>
        <v>25.941030608440123</v>
      </c>
      <c r="G199" s="306">
        <f t="shared" ca="1" si="98"/>
        <v>15.945183778912506</v>
      </c>
      <c r="H199" s="307">
        <f t="shared" ca="1" si="99"/>
        <v>71.748332205364974</v>
      </c>
      <c r="I199" s="304">
        <f t="shared" ca="1" si="100"/>
        <v>73.498789513805647</v>
      </c>
      <c r="J199" s="306">
        <f t="shared" ca="1" si="101"/>
        <v>28.695426561880751</v>
      </c>
      <c r="K199" s="307">
        <f t="shared" ca="1" si="102"/>
        <v>142.29439246688941</v>
      </c>
      <c r="L199" s="304">
        <f t="shared" ca="1" si="87"/>
        <v>145.15895298978097</v>
      </c>
      <c r="M199" s="306">
        <f t="shared" ca="1" si="103"/>
        <v>1.3521126388523872</v>
      </c>
      <c r="N199" s="304">
        <f t="shared" ca="1" si="104"/>
        <v>77.470347632538278</v>
      </c>
      <c r="P199" s="310">
        <f t="shared" ca="1" si="105"/>
        <v>22</v>
      </c>
      <c r="Q199" s="304">
        <f t="shared" ca="1" si="106"/>
        <v>0</v>
      </c>
      <c r="R199" s="306">
        <f t="shared" ca="1" si="107"/>
        <v>0</v>
      </c>
      <c r="S199" s="307">
        <f t="shared" ca="1" si="108"/>
        <v>0.4270000000000001</v>
      </c>
      <c r="T199" s="304">
        <f t="shared" ca="1" si="88"/>
        <v>4.1888700000000014</v>
      </c>
      <c r="U199" s="311">
        <f t="shared" ca="1" si="89"/>
        <v>0</v>
      </c>
      <c r="V199" s="306">
        <f t="shared" ca="1" si="90"/>
        <v>1.2076920779355571</v>
      </c>
      <c r="W199" s="304">
        <f t="shared" ca="1" si="91"/>
        <v>6.9010723761191981</v>
      </c>
      <c r="Y199" s="314" t="str">
        <f t="shared" ca="1" si="109"/>
        <v/>
      </c>
      <c r="Z199" s="315" t="str">
        <f t="shared" ca="1" si="110"/>
        <v/>
      </c>
      <c r="AA199" s="316" t="str">
        <f t="shared" ca="1" si="111"/>
        <v/>
      </c>
      <c r="AC199" s="310" t="e">
        <f t="shared" ca="1" si="112"/>
        <v>#N/A</v>
      </c>
      <c r="AD199" s="323" t="e">
        <f t="shared" ca="1" si="113"/>
        <v>#N/A</v>
      </c>
      <c r="AE199" s="324">
        <f t="shared" ca="1" si="92"/>
        <v>142.29439246688941</v>
      </c>
      <c r="AG199" s="306">
        <f t="shared" ca="1" si="114"/>
        <v>-25.853809984216433</v>
      </c>
      <c r="AH199" s="304">
        <f t="shared" ca="1" si="115"/>
        <v>-16.276831250192743</v>
      </c>
    </row>
    <row r="200" spans="1:34" x14ac:dyDescent="0.3">
      <c r="A200" s="347">
        <f t="shared" ca="1" si="93"/>
        <v>0.01</v>
      </c>
      <c r="B200" s="304">
        <f t="shared" ca="1" si="94"/>
        <v>1.9600000000000015</v>
      </c>
      <c r="D200" s="306">
        <f t="shared" ca="1" si="95"/>
        <v>-3.5062110146967096</v>
      </c>
      <c r="E200" s="307">
        <f t="shared" ca="1" si="96"/>
        <v>-25.586851251928721</v>
      </c>
      <c r="F200" s="304">
        <f t="shared" ca="1" si="97"/>
        <v>25.825965086863778</v>
      </c>
      <c r="G200" s="306">
        <f t="shared" ca="1" si="98"/>
        <v>15.910121668765539</v>
      </c>
      <c r="H200" s="307">
        <f t="shared" ca="1" si="99"/>
        <v>71.492463692845689</v>
      </c>
      <c r="I200" s="304">
        <f t="shared" ca="1" si="100"/>
        <v>73.241411348961478</v>
      </c>
      <c r="J200" s="306">
        <f t="shared" ca="1" si="101"/>
        <v>28.854703089119141</v>
      </c>
      <c r="K200" s="307">
        <f t="shared" ca="1" si="102"/>
        <v>143.01059644638045</v>
      </c>
      <c r="L200" s="304">
        <f t="shared" ca="1" si="87"/>
        <v>145.89251038456604</v>
      </c>
      <c r="M200" s="306">
        <f t="shared" ca="1" si="103"/>
        <v>1.351822061574097</v>
      </c>
      <c r="N200" s="304">
        <f t="shared" ca="1" si="104"/>
        <v>77.453698780869857</v>
      </c>
      <c r="P200" s="310">
        <f t="shared" ca="1" si="105"/>
        <v>22</v>
      </c>
      <c r="Q200" s="304">
        <f t="shared" ca="1" si="106"/>
        <v>0</v>
      </c>
      <c r="R200" s="306">
        <f t="shared" ca="1" si="107"/>
        <v>0</v>
      </c>
      <c r="S200" s="307">
        <f t="shared" ca="1" si="108"/>
        <v>0.4270000000000001</v>
      </c>
      <c r="T200" s="304">
        <f t="shared" ca="1" si="88"/>
        <v>4.1888700000000014</v>
      </c>
      <c r="U200" s="311">
        <f t="shared" ca="1" si="89"/>
        <v>0</v>
      </c>
      <c r="V200" s="306">
        <f t="shared" ca="1" si="90"/>
        <v>1.2076055812453654</v>
      </c>
      <c r="W200" s="304">
        <f t="shared" ca="1" si="91"/>
        <v>6.8523338219076706</v>
      </c>
      <c r="Y200" s="314" t="str">
        <f t="shared" ca="1" si="109"/>
        <v/>
      </c>
      <c r="Z200" s="315" t="str">
        <f t="shared" ca="1" si="110"/>
        <v/>
      </c>
      <c r="AA200" s="316" t="str">
        <f t="shared" ca="1" si="111"/>
        <v/>
      </c>
      <c r="AC200" s="310" t="e">
        <f t="shared" ca="1" si="112"/>
        <v>#N/A</v>
      </c>
      <c r="AD200" s="323" t="e">
        <f t="shared" ca="1" si="113"/>
        <v>#N/A</v>
      </c>
      <c r="AE200" s="324">
        <f t="shared" ca="1" si="92"/>
        <v>143.01059644638045</v>
      </c>
      <c r="AG200" s="306">
        <f t="shared" ca="1" si="114"/>
        <v>-25.738125691910817</v>
      </c>
      <c r="AH200" s="304">
        <f t="shared" ca="1" si="115"/>
        <v>-16.161762004962988</v>
      </c>
    </row>
    <row r="201" spans="1:34" x14ac:dyDescent="0.3">
      <c r="A201" s="347">
        <f t="shared" ca="1" si="93"/>
        <v>0.01</v>
      </c>
      <c r="B201" s="304">
        <f t="shared" ca="1" si="94"/>
        <v>1.9700000000000015</v>
      </c>
      <c r="D201" s="306">
        <f t="shared" ca="1" si="95"/>
        <v>-3.4860004066488379</v>
      </c>
      <c r="E201" s="307">
        <f t="shared" ca="1" si="96"/>
        <v>-25.474415564769497</v>
      </c>
      <c r="F201" s="304">
        <f t="shared" ca="1" si="97"/>
        <v>25.711826990739617</v>
      </c>
      <c r="G201" s="306">
        <f t="shared" ca="1" si="98"/>
        <v>15.875261664699051</v>
      </c>
      <c r="H201" s="307">
        <f t="shared" ca="1" si="99"/>
        <v>71.237719537197989</v>
      </c>
      <c r="I201" s="304">
        <f t="shared" ca="1" si="100"/>
        <v>72.985180809415979</v>
      </c>
      <c r="J201" s="306">
        <f t="shared" ca="1" si="101"/>
        <v>29.013630005786464</v>
      </c>
      <c r="K201" s="307">
        <f t="shared" ca="1" si="102"/>
        <v>143.72424736253066</v>
      </c>
      <c r="L201" s="304">
        <f t="shared" ca="1" si="87"/>
        <v>146.62349745534846</v>
      </c>
      <c r="M201" s="306">
        <f t="shared" ca="1" si="103"/>
        <v>1.3515300829070174</v>
      </c>
      <c r="N201" s="304">
        <f t="shared" ca="1" si="104"/>
        <v>77.436969635538333</v>
      </c>
      <c r="P201" s="310">
        <f t="shared" ca="1" si="105"/>
        <v>22</v>
      </c>
      <c r="Q201" s="304">
        <f t="shared" ca="1" si="106"/>
        <v>0</v>
      </c>
      <c r="R201" s="306">
        <f t="shared" ca="1" si="107"/>
        <v>0</v>
      </c>
      <c r="S201" s="307">
        <f t="shared" ca="1" si="108"/>
        <v>0.4270000000000001</v>
      </c>
      <c r="T201" s="304">
        <f t="shared" ca="1" si="88"/>
        <v>4.1888700000000014</v>
      </c>
      <c r="U201" s="311">
        <f t="shared" ca="1" si="89"/>
        <v>0</v>
      </c>
      <c r="V201" s="306">
        <f t="shared" ca="1" si="90"/>
        <v>1.2075193990091331</v>
      </c>
      <c r="W201" s="304">
        <f t="shared" ca="1" si="91"/>
        <v>6.8039871480383418</v>
      </c>
      <c r="Y201" s="314" t="str">
        <f t="shared" ca="1" si="109"/>
        <v/>
      </c>
      <c r="Z201" s="315" t="str">
        <f t="shared" ca="1" si="110"/>
        <v/>
      </c>
      <c r="AA201" s="316" t="str">
        <f t="shared" ca="1" si="111"/>
        <v/>
      </c>
      <c r="AC201" s="310" t="e">
        <f t="shared" ca="1" si="112"/>
        <v>#N/A</v>
      </c>
      <c r="AD201" s="323" t="e">
        <f t="shared" ca="1" si="113"/>
        <v>#N/A</v>
      </c>
      <c r="AE201" s="324">
        <f t="shared" ca="1" si="92"/>
        <v>143.72424736253066</v>
      </c>
      <c r="AG201" s="306">
        <f t="shared" ca="1" si="114"/>
        <v>-25.623365059506135</v>
      </c>
      <c r="AH201" s="304">
        <f t="shared" ca="1" si="115"/>
        <v>-16.047620191821238</v>
      </c>
    </row>
    <row r="202" spans="1:34" x14ac:dyDescent="0.3">
      <c r="A202" s="347">
        <f t="shared" ca="1" si="93"/>
        <v>0.01</v>
      </c>
      <c r="B202" s="304">
        <f t="shared" ca="1" si="94"/>
        <v>1.9800000000000015</v>
      </c>
      <c r="D202" s="306">
        <f t="shared" ca="1" si="95"/>
        <v>-3.465946172181376</v>
      </c>
      <c r="E202" s="307">
        <f t="shared" ca="1" si="96"/>
        <v>-25.362883886878745</v>
      </c>
      <c r="F202" s="304">
        <f t="shared" ca="1" si="97"/>
        <v>25.598606640357445</v>
      </c>
      <c r="G202" s="306">
        <f t="shared" ca="1" si="98"/>
        <v>15.840602202977237</v>
      </c>
      <c r="H202" s="307">
        <f t="shared" ca="1" si="99"/>
        <v>70.984090698329197</v>
      </c>
      <c r="I202" s="304">
        <f t="shared" ca="1" si="100"/>
        <v>72.730088755765948</v>
      </c>
      <c r="J202" s="306">
        <f t="shared" ca="1" si="101"/>
        <v>29.172209325124847</v>
      </c>
      <c r="K202" s="307">
        <f t="shared" ca="1" si="102"/>
        <v>144.43535641370829</v>
      </c>
      <c r="L202" s="304">
        <f t="shared" ca="1" si="87"/>
        <v>147.35192560419375</v>
      </c>
      <c r="M202" s="306">
        <f t="shared" ca="1" si="103"/>
        <v>1.3512366957490869</v>
      </c>
      <c r="N202" s="304">
        <f t="shared" ca="1" si="104"/>
        <v>77.420159789625586</v>
      </c>
      <c r="P202" s="310">
        <f t="shared" ca="1" si="105"/>
        <v>22</v>
      </c>
      <c r="Q202" s="304">
        <f t="shared" ca="1" si="106"/>
        <v>0</v>
      </c>
      <c r="R202" s="306">
        <f t="shared" ca="1" si="107"/>
        <v>0</v>
      </c>
      <c r="S202" s="307">
        <f t="shared" ca="1" si="108"/>
        <v>0.4270000000000001</v>
      </c>
      <c r="T202" s="304">
        <f t="shared" ca="1" si="88"/>
        <v>4.1888700000000014</v>
      </c>
      <c r="U202" s="311">
        <f t="shared" ca="1" si="89"/>
        <v>0</v>
      </c>
      <c r="V202" s="306">
        <f t="shared" ca="1" si="90"/>
        <v>1.2074335298084731</v>
      </c>
      <c r="W202" s="304">
        <f t="shared" ca="1" si="91"/>
        <v>6.7560282757501389</v>
      </c>
      <c r="Y202" s="314" t="str">
        <f t="shared" ca="1" si="109"/>
        <v/>
      </c>
      <c r="Z202" s="315" t="str">
        <f t="shared" ca="1" si="110"/>
        <v/>
      </c>
      <c r="AA202" s="316" t="str">
        <f t="shared" ca="1" si="111"/>
        <v/>
      </c>
      <c r="AC202" s="310" t="e">
        <f t="shared" ca="1" si="112"/>
        <v>#N/A</v>
      </c>
      <c r="AD202" s="323" t="e">
        <f t="shared" ca="1" si="113"/>
        <v>#N/A</v>
      </c>
      <c r="AE202" s="324">
        <f t="shared" ca="1" si="92"/>
        <v>144.43535641370829</v>
      </c>
      <c r="AG202" s="306">
        <f t="shared" ca="1" si="114"/>
        <v>-25.509518380845474</v>
      </c>
      <c r="AH202" s="304">
        <f t="shared" ca="1" si="115"/>
        <v>-15.93439613123733</v>
      </c>
    </row>
    <row r="203" spans="1:34" x14ac:dyDescent="0.3">
      <c r="A203" s="347">
        <f t="shared" ca="1" si="93"/>
        <v>0.01</v>
      </c>
      <c r="B203" s="304">
        <f t="shared" ca="1" si="94"/>
        <v>1.9900000000000015</v>
      </c>
      <c r="D203" s="306">
        <f t="shared" ca="1" si="95"/>
        <v>-3.4460466621917165</v>
      </c>
      <c r="E203" s="307">
        <f t="shared" ca="1" si="96"/>
        <v>-25.252246808881811</v>
      </c>
      <c r="F203" s="304">
        <f t="shared" ca="1" si="97"/>
        <v>25.486294483401942</v>
      </c>
      <c r="G203" s="306">
        <f t="shared" ca="1" si="98"/>
        <v>15.80614173635532</v>
      </c>
      <c r="H203" s="307">
        <f t="shared" ca="1" si="99"/>
        <v>70.731568230240384</v>
      </c>
      <c r="I203" s="304">
        <f t="shared" ca="1" si="100"/>
        <v>72.476126144399473</v>
      </c>
      <c r="J203" s="306">
        <f t="shared" ca="1" si="101"/>
        <v>29.330443044821511</v>
      </c>
      <c r="K203" s="307">
        <f t="shared" ca="1" si="102"/>
        <v>145.14393470835114</v>
      </c>
      <c r="L203" s="304">
        <f t="shared" ca="1" si="87"/>
        <v>148.07780614199962</v>
      </c>
      <c r="M203" s="306">
        <f t="shared" ca="1" si="103"/>
        <v>1.3509418929438546</v>
      </c>
      <c r="N203" s="304">
        <f t="shared" ca="1" si="104"/>
        <v>77.403268833097158</v>
      </c>
      <c r="P203" s="310">
        <f t="shared" ca="1" si="105"/>
        <v>22</v>
      </c>
      <c r="Q203" s="304">
        <f t="shared" ca="1" si="106"/>
        <v>0</v>
      </c>
      <c r="R203" s="306">
        <f t="shared" ca="1" si="107"/>
        <v>0</v>
      </c>
      <c r="S203" s="307">
        <f t="shared" ca="1" si="108"/>
        <v>0.4270000000000001</v>
      </c>
      <c r="T203" s="304">
        <f t="shared" ca="1" si="88"/>
        <v>4.1888700000000014</v>
      </c>
      <c r="U203" s="311">
        <f t="shared" ca="1" si="89"/>
        <v>0</v>
      </c>
      <c r="V203" s="306">
        <f t="shared" ca="1" si="90"/>
        <v>1.2073479722364862</v>
      </c>
      <c r="W203" s="304">
        <f t="shared" ca="1" si="91"/>
        <v>6.7084531798240032</v>
      </c>
      <c r="Y203" s="314" t="str">
        <f t="shared" ca="1" si="109"/>
        <v/>
      </c>
      <c r="Z203" s="315" t="str">
        <f t="shared" ca="1" si="110"/>
        <v/>
      </c>
      <c r="AA203" s="316" t="str">
        <f t="shared" ca="1" si="111"/>
        <v/>
      </c>
      <c r="AC203" s="310" t="e">
        <f t="shared" ca="1" si="112"/>
        <v>#N/A</v>
      </c>
      <c r="AD203" s="323" t="e">
        <f t="shared" ca="1" si="113"/>
        <v>#N/A</v>
      </c>
      <c r="AE203" s="324">
        <f t="shared" ca="1" si="92"/>
        <v>145.14393470835114</v>
      </c>
      <c r="AG203" s="306">
        <f t="shared" ca="1" si="114"/>
        <v>-25.396576076919768</v>
      </c>
      <c r="AH203" s="304">
        <f t="shared" ca="1" si="115"/>
        <v>-15.822080271077605</v>
      </c>
    </row>
    <row r="204" spans="1:34" x14ac:dyDescent="0.3">
      <c r="A204" s="347">
        <f t="shared" ca="1" si="93"/>
        <v>0.01</v>
      </c>
      <c r="B204" s="304">
        <f t="shared" ca="1" si="94"/>
        <v>2.0000000000000013</v>
      </c>
      <c r="D204" s="306">
        <f t="shared" ca="1" si="95"/>
        <v>-3.426300249176724</v>
      </c>
      <c r="E204" s="307">
        <f t="shared" ca="1" si="96"/>
        <v>-25.142495044917602</v>
      </c>
      <c r="F204" s="304">
        <f t="shared" ca="1" si="97"/>
        <v>25.374881092947305</v>
      </c>
      <c r="G204" s="306">
        <f t="shared" ca="1" si="98"/>
        <v>15.771878733863552</v>
      </c>
      <c r="H204" s="307">
        <f t="shared" ca="1" si="99"/>
        <v>70.480143279791207</v>
      </c>
      <c r="I204" s="304">
        <f t="shared" ca="1" si="100"/>
        <v>72.223284026244571</v>
      </c>
      <c r="J204" s="306">
        <f t="shared" ca="1" si="101"/>
        <v>29.488333147172604</v>
      </c>
      <c r="K204" s="307">
        <f t="shared" ca="1" si="102"/>
        <v>145.8499932659013</v>
      </c>
      <c r="L204" s="304">
        <f t="shared" ca="1" si="87"/>
        <v>148.80115028944533</v>
      </c>
      <c r="M204" s="306">
        <f t="shared" ca="1" si="103"/>
        <v>1.3506456672799987</v>
      </c>
      <c r="N204" s="304">
        <f t="shared" ca="1" si="104"/>
        <v>77.38629635277475</v>
      </c>
      <c r="P204" s="310">
        <f t="shared" ca="1" si="105"/>
        <v>22</v>
      </c>
      <c r="Q204" s="304">
        <f t="shared" ca="1" si="106"/>
        <v>0</v>
      </c>
      <c r="R204" s="306">
        <f t="shared" ca="1" si="107"/>
        <v>0</v>
      </c>
      <c r="S204" s="307">
        <f t="shared" ca="1" si="108"/>
        <v>0.4270000000000001</v>
      </c>
      <c r="T204" s="304">
        <f t="shared" ca="1" si="88"/>
        <v>4.1888700000000014</v>
      </c>
      <c r="U204" s="311">
        <f t="shared" ca="1" si="89"/>
        <v>0</v>
      </c>
      <c r="V204" s="306">
        <f t="shared" ca="1" si="90"/>
        <v>1.2072627248976391</v>
      </c>
      <c r="W204" s="304">
        <f t="shared" ca="1" si="91"/>
        <v>6.6612578877423294</v>
      </c>
      <c r="Y204" s="314" t="str">
        <f t="shared" ca="1" si="109"/>
        <v/>
      </c>
      <c r="Z204" s="315" t="str">
        <f t="shared" ca="1" si="110"/>
        <v/>
      </c>
      <c r="AA204" s="316" t="str">
        <f t="shared" ca="1" si="111"/>
        <v/>
      </c>
      <c r="AC204" s="310">
        <f t="shared" ca="1" si="112"/>
        <v>2.0000000000000013</v>
      </c>
      <c r="AD204" s="323">
        <f t="shared" ca="1" si="113"/>
        <v>29.488333147172604</v>
      </c>
      <c r="AE204" s="324">
        <f t="shared" ca="1" si="92"/>
        <v>145.8499932659013</v>
      </c>
      <c r="AG204" s="306">
        <f t="shared" ca="1" si="114"/>
        <v>-25.284528693859748</v>
      </c>
      <c r="AH204" s="304">
        <f t="shared" ca="1" si="115"/>
        <v>-15.710663184599536</v>
      </c>
    </row>
    <row r="205" spans="1:34" x14ac:dyDescent="0.3">
      <c r="A205" s="347">
        <f t="shared" ca="1" si="93"/>
        <v>0.1</v>
      </c>
      <c r="B205" s="304">
        <f t="shared" ca="1" si="94"/>
        <v>2.1000000000000014</v>
      </c>
      <c r="D205" s="306">
        <f t="shared" ca="1" si="95"/>
        <v>-3.4067053268934875</v>
      </c>
      <c r="E205" s="307">
        <f t="shared" ca="1" si="96"/>
        <v>-25.033619430699467</v>
      </c>
      <c r="F205" s="304">
        <f t="shared" ca="1" si="97"/>
        <v>25.264357165488665</v>
      </c>
      <c r="G205" s="306">
        <f t="shared" ca="1" si="98"/>
        <v>15.431208201174204</v>
      </c>
      <c r="H205" s="307">
        <f t="shared" ca="1" si="99"/>
        <v>67.97678133672126</v>
      </c>
      <c r="I205" s="304">
        <f t="shared" ca="1" si="100"/>
        <v>69.706276528361499</v>
      </c>
      <c r="J205" s="306">
        <f t="shared" ca="1" si="101"/>
        <v>31.04848749392449</v>
      </c>
      <c r="K205" s="307">
        <f t="shared" ca="1" si="102"/>
        <v>152.77283949672693</v>
      </c>
      <c r="L205" s="304">
        <f t="shared" ca="1" si="87"/>
        <v>155.89595589223305</v>
      </c>
      <c r="M205" s="306">
        <f t="shared" ca="1" si="103"/>
        <v>1.3475723740212544</v>
      </c>
      <c r="N205" s="304">
        <f t="shared" ca="1" si="104"/>
        <v>77.210209619842701</v>
      </c>
      <c r="P205" s="310">
        <f t="shared" ca="1" si="105"/>
        <v>23</v>
      </c>
      <c r="Q205" s="304">
        <f t="shared" ca="1" si="106"/>
        <v>0</v>
      </c>
      <c r="R205" s="306">
        <f t="shared" ca="1" si="107"/>
        <v>0</v>
      </c>
      <c r="S205" s="307">
        <f t="shared" ca="1" si="108"/>
        <v>0.4270000000000001</v>
      </c>
      <c r="T205" s="304">
        <f t="shared" ca="1" si="88"/>
        <v>4.1888700000000014</v>
      </c>
      <c r="U205" s="311">
        <f t="shared" ca="1" si="89"/>
        <v>0</v>
      </c>
      <c r="V205" s="306">
        <f t="shared" ca="1" si="90"/>
        <v>1.2064271981454873</v>
      </c>
      <c r="W205" s="304">
        <f t="shared" ca="1" si="91"/>
        <v>6.2007594067448908</v>
      </c>
      <c r="Y205" s="314" t="str">
        <f t="shared" ca="1" si="109"/>
        <v/>
      </c>
      <c r="Z205" s="315" t="str">
        <f t="shared" ca="1" si="110"/>
        <v/>
      </c>
      <c r="AA205" s="316" t="str">
        <f t="shared" ca="1" si="111"/>
        <v/>
      </c>
      <c r="AC205" s="310" t="e">
        <f t="shared" ca="1" si="112"/>
        <v>#N/A</v>
      </c>
      <c r="AD205" s="323" t="e">
        <f t="shared" ca="1" si="113"/>
        <v>#N/A</v>
      </c>
      <c r="AE205" s="324">
        <f t="shared" ca="1" si="92"/>
        <v>152.77283949672693</v>
      </c>
      <c r="AG205" s="306">
        <f t="shared" ca="1" si="114"/>
        <v>-25.173366900964655</v>
      </c>
      <c r="AH205" s="304">
        <f t="shared" ca="1" si="115"/>
        <v>-15.600135568483203</v>
      </c>
    </row>
    <row r="206" spans="1:34" x14ac:dyDescent="0.3">
      <c r="A206" s="347">
        <f t="shared" ca="1" si="93"/>
        <v>0.1</v>
      </c>
      <c r="B206" s="304">
        <f t="shared" ca="1" si="94"/>
        <v>2.2000000000000015</v>
      </c>
      <c r="D206" s="306">
        <f t="shared" ca="1" si="95"/>
        <v>-3.2147340618067899</v>
      </c>
      <c r="E206" s="307">
        <f t="shared" ca="1" si="96"/>
        <v>-23.971384612678715</v>
      </c>
      <c r="F206" s="304">
        <f t="shared" ca="1" si="97"/>
        <v>24.185983447797003</v>
      </c>
      <c r="G206" s="306">
        <f t="shared" ca="1" si="98"/>
        <v>15.109734794993525</v>
      </c>
      <c r="H206" s="307">
        <f t="shared" ca="1" si="99"/>
        <v>65.579642875453388</v>
      </c>
      <c r="I206" s="304">
        <f t="shared" ca="1" si="100"/>
        <v>67.297798219904948</v>
      </c>
      <c r="J206" s="306">
        <f t="shared" ca="1" si="101"/>
        <v>32.57553464373288</v>
      </c>
      <c r="K206" s="307">
        <f t="shared" ca="1" si="102"/>
        <v>159.45066070733566</v>
      </c>
      <c r="L206" s="304">
        <f t="shared" ca="1" si="87"/>
        <v>162.74421236200973</v>
      </c>
      <c r="M206" s="306">
        <f t="shared" ca="1" si="103"/>
        <v>1.3443453889850976</v>
      </c>
      <c r="N206" s="304">
        <f t="shared" ca="1" si="104"/>
        <v>77.025316996719042</v>
      </c>
      <c r="P206" s="310">
        <f t="shared" ca="1" si="105"/>
        <v>23</v>
      </c>
      <c r="Q206" s="304">
        <f t="shared" ca="1" si="106"/>
        <v>0</v>
      </c>
      <c r="R206" s="306">
        <f t="shared" ca="1" si="107"/>
        <v>0</v>
      </c>
      <c r="S206" s="307">
        <f t="shared" ca="1" si="108"/>
        <v>0.4270000000000001</v>
      </c>
      <c r="T206" s="304">
        <f t="shared" ca="1" si="88"/>
        <v>4.1888700000000014</v>
      </c>
      <c r="U206" s="311">
        <f t="shared" ca="1" si="89"/>
        <v>0</v>
      </c>
      <c r="V206" s="306">
        <f t="shared" ca="1" si="90"/>
        <v>1.2056217875026531</v>
      </c>
      <c r="W206" s="304">
        <f t="shared" ca="1" si="91"/>
        <v>5.7758085684221019</v>
      </c>
      <c r="Y206" s="314" t="str">
        <f t="shared" ca="1" si="109"/>
        <v/>
      </c>
      <c r="Z206" s="315" t="str">
        <f t="shared" ca="1" si="110"/>
        <v/>
      </c>
      <c r="AA206" s="316" t="str">
        <f t="shared" ca="1" si="111"/>
        <v/>
      </c>
      <c r="AC206" s="310" t="e">
        <f t="shared" ca="1" si="112"/>
        <v>#N/A</v>
      </c>
      <c r="AD206" s="323" t="e">
        <f t="shared" ca="1" si="113"/>
        <v>#N/A</v>
      </c>
      <c r="AE206" s="324">
        <f t="shared" ca="1" si="92"/>
        <v>159.45066070733566</v>
      </c>
      <c r="AG206" s="306">
        <f t="shared" ca="1" si="114"/>
        <v>-24.088287086894859</v>
      </c>
      <c r="AH206" s="304">
        <f t="shared" ca="1" si="115"/>
        <v>-14.521684793313558</v>
      </c>
    </row>
    <row r="207" spans="1:34" x14ac:dyDescent="0.3">
      <c r="A207" s="347">
        <f t="shared" ca="1" si="93"/>
        <v>0.1</v>
      </c>
      <c r="B207" s="304">
        <f t="shared" ca="1" si="94"/>
        <v>2.3000000000000016</v>
      </c>
      <c r="D207" s="306">
        <f t="shared" ca="1" si="95"/>
        <v>-3.0369727960078956</v>
      </c>
      <c r="E207" s="307">
        <f t="shared" ca="1" si="96"/>
        <v>-22.991144082731093</v>
      </c>
      <c r="F207" s="304">
        <f t="shared" ca="1" si="97"/>
        <v>23.190858328155795</v>
      </c>
      <c r="G207" s="306">
        <f t="shared" ca="1" si="98"/>
        <v>14.806037515392735</v>
      </c>
      <c r="H207" s="307">
        <f t="shared" ca="1" si="99"/>
        <v>63.280528467180275</v>
      </c>
      <c r="I207" s="304">
        <f t="shared" ca="1" si="100"/>
        <v>64.989568624455643</v>
      </c>
      <c r="J207" s="306">
        <f t="shared" ca="1" si="101"/>
        <v>34.071323259252196</v>
      </c>
      <c r="K207" s="307">
        <f t="shared" ca="1" si="102"/>
        <v>165.89366927446733</v>
      </c>
      <c r="L207" s="304">
        <f t="shared" ca="1" si="87"/>
        <v>169.35632428103418</v>
      </c>
      <c r="M207" s="306">
        <f t="shared" ca="1" si="103"/>
        <v>1.3409563062544219</v>
      </c>
      <c r="N207" s="304">
        <f t="shared" ca="1" si="104"/>
        <v>76.83113685983065</v>
      </c>
      <c r="P207" s="310">
        <f t="shared" ca="1" si="105"/>
        <v>23</v>
      </c>
      <c r="Q207" s="304">
        <f t="shared" ca="1" si="106"/>
        <v>0</v>
      </c>
      <c r="R207" s="306">
        <f t="shared" ca="1" si="107"/>
        <v>0</v>
      </c>
      <c r="S207" s="307">
        <f t="shared" ca="1" si="108"/>
        <v>0.4270000000000001</v>
      </c>
      <c r="T207" s="304">
        <f t="shared" ca="1" si="88"/>
        <v>4.1888700000000014</v>
      </c>
      <c r="U207" s="311">
        <f t="shared" ca="1" si="89"/>
        <v>0</v>
      </c>
      <c r="V207" s="306">
        <f t="shared" ca="1" si="90"/>
        <v>1.2048452031738266</v>
      </c>
      <c r="W207" s="304">
        <f t="shared" ca="1" si="91"/>
        <v>5.38292777994545</v>
      </c>
      <c r="Y207" s="314" t="str">
        <f t="shared" ca="1" si="109"/>
        <v/>
      </c>
      <c r="Z207" s="315" t="str">
        <f t="shared" ca="1" si="110"/>
        <v/>
      </c>
      <c r="AA207" s="316" t="str">
        <f t="shared" ca="1" si="111"/>
        <v/>
      </c>
      <c r="AC207" s="310" t="e">
        <f t="shared" ca="1" si="112"/>
        <v>#N/A</v>
      </c>
      <c r="AD207" s="323" t="e">
        <f t="shared" ca="1" si="113"/>
        <v>#N/A</v>
      </c>
      <c r="AE207" s="324">
        <f t="shared" ca="1" si="92"/>
        <v>165.89366927446733</v>
      </c>
      <c r="AG207" s="306">
        <f t="shared" ca="1" si="114"/>
        <v>-23.086028263423358</v>
      </c>
      <c r="AH207" s="304">
        <f t="shared" ca="1" si="115"/>
        <v>-13.526483766796488</v>
      </c>
    </row>
    <row r="208" spans="1:34" x14ac:dyDescent="0.3">
      <c r="A208" s="347">
        <f t="shared" ca="1" si="93"/>
        <v>0.1</v>
      </c>
      <c r="B208" s="304">
        <f t="shared" ca="1" si="94"/>
        <v>2.4000000000000017</v>
      </c>
      <c r="D208" s="306">
        <f t="shared" ca="1" si="95"/>
        <v>-2.8720094811588379</v>
      </c>
      <c r="E208" s="307">
        <f t="shared" ca="1" si="96"/>
        <v>-22.084876214621204</v>
      </c>
      <c r="F208" s="304">
        <f t="shared" ca="1" si="97"/>
        <v>22.27083734112859</v>
      </c>
      <c r="G208" s="306">
        <f t="shared" ca="1" si="98"/>
        <v>14.518836567276852</v>
      </c>
      <c r="H208" s="307">
        <f t="shared" ca="1" si="99"/>
        <v>61.072040845718156</v>
      </c>
      <c r="I208" s="304">
        <f t="shared" ca="1" si="100"/>
        <v>62.774125149844679</v>
      </c>
      <c r="J208" s="306">
        <f t="shared" ca="1" si="101"/>
        <v>35.537566963385679</v>
      </c>
      <c r="K208" s="307">
        <f t="shared" ca="1" si="102"/>
        <v>172.11129774011226</v>
      </c>
      <c r="L208" s="304">
        <f t="shared" ca="1" si="87"/>
        <v>175.74190586044836</v>
      </c>
      <c r="M208" s="306">
        <f t="shared" ca="1" si="103"/>
        <v>1.3373960238564087</v>
      </c>
      <c r="N208" s="304">
        <f t="shared" ca="1" si="104"/>
        <v>76.62714770454977</v>
      </c>
      <c r="P208" s="310">
        <f t="shared" ca="1" si="105"/>
        <v>23</v>
      </c>
      <c r="Q208" s="304">
        <f t="shared" ca="1" si="106"/>
        <v>0</v>
      </c>
      <c r="R208" s="306">
        <f t="shared" ca="1" si="107"/>
        <v>0</v>
      </c>
      <c r="S208" s="307">
        <f t="shared" ca="1" si="108"/>
        <v>0.4270000000000001</v>
      </c>
      <c r="T208" s="304">
        <f t="shared" ca="1" si="88"/>
        <v>4.1888700000000014</v>
      </c>
      <c r="U208" s="311">
        <f t="shared" ca="1" si="89"/>
        <v>0</v>
      </c>
      <c r="V208" s="306">
        <f t="shared" ca="1" si="90"/>
        <v>1.2040962545645622</v>
      </c>
      <c r="W208" s="304">
        <f t="shared" ca="1" si="91"/>
        <v>5.019061703657874</v>
      </c>
      <c r="Y208" s="314" t="str">
        <f t="shared" ca="1" si="109"/>
        <v/>
      </c>
      <c r="Z208" s="315" t="str">
        <f t="shared" ca="1" si="110"/>
        <v/>
      </c>
      <c r="AA208" s="316" t="str">
        <f t="shared" ca="1" si="111"/>
        <v/>
      </c>
      <c r="AC208" s="310" t="e">
        <f t="shared" ca="1" si="112"/>
        <v>#N/A</v>
      </c>
      <c r="AD208" s="323" t="e">
        <f t="shared" ca="1" si="113"/>
        <v>#N/A</v>
      </c>
      <c r="AE208" s="324">
        <f t="shared" ca="1" si="92"/>
        <v>172.11129774011226</v>
      </c>
      <c r="AG208" s="306">
        <f t="shared" ca="1" si="114"/>
        <v>-22.158413243786214</v>
      </c>
      <c r="AH208" s="304">
        <f t="shared" ca="1" si="115"/>
        <v>-12.606388243431963</v>
      </c>
    </row>
    <row r="209" spans="1:34" x14ac:dyDescent="0.3">
      <c r="A209" s="347">
        <f t="shared" ca="1" si="93"/>
        <v>0.1</v>
      </c>
      <c r="B209" s="304">
        <f t="shared" ca="1" si="94"/>
        <v>2.5000000000000018</v>
      </c>
      <c r="D209" s="306">
        <f t="shared" ca="1" si="95"/>
        <v>-2.718603098521009</v>
      </c>
      <c r="E209" s="307">
        <f t="shared" ca="1" si="96"/>
        <v>-21.245533329879727</v>
      </c>
      <c r="F209" s="304">
        <f t="shared" ca="1" si="97"/>
        <v>21.418764886853733</v>
      </c>
      <c r="G209" s="306">
        <f t="shared" ca="1" si="98"/>
        <v>14.24697625742475</v>
      </c>
      <c r="H209" s="307">
        <f t="shared" ca="1" si="99"/>
        <v>58.947487512730184</v>
      </c>
      <c r="I209" s="304">
        <f t="shared" ca="1" si="100"/>
        <v>60.644724556577103</v>
      </c>
      <c r="J209" s="306">
        <f t="shared" ca="1" si="101"/>
        <v>36.975857604620757</v>
      </c>
      <c r="K209" s="307">
        <f t="shared" ca="1" si="102"/>
        <v>178.11227415803469</v>
      </c>
      <c r="L209" s="304">
        <f t="shared" ca="1" si="87"/>
        <v>181.90985748810894</v>
      </c>
      <c r="M209" s="306">
        <f t="shared" ca="1" si="103"/>
        <v>1.3336546755583403</v>
      </c>
      <c r="N209" s="304">
        <f t="shared" ca="1" si="104"/>
        <v>76.412784237381999</v>
      </c>
      <c r="P209" s="310">
        <f t="shared" ca="1" si="105"/>
        <v>23</v>
      </c>
      <c r="Q209" s="304">
        <f t="shared" ca="1" si="106"/>
        <v>0</v>
      </c>
      <c r="R209" s="306">
        <f t="shared" ca="1" si="107"/>
        <v>0</v>
      </c>
      <c r="S209" s="307">
        <f t="shared" ca="1" si="108"/>
        <v>0.4270000000000001</v>
      </c>
      <c r="T209" s="304">
        <f t="shared" ca="1" si="88"/>
        <v>4.1888700000000014</v>
      </c>
      <c r="U209" s="311">
        <f t="shared" ca="1" si="89"/>
        <v>0</v>
      </c>
      <c r="V209" s="306">
        <f t="shared" ca="1" si="90"/>
        <v>1.2033738406369141</v>
      </c>
      <c r="W209" s="304">
        <f t="shared" ca="1" si="91"/>
        <v>4.6815170965802428</v>
      </c>
      <c r="Y209" s="314" t="str">
        <f t="shared" ca="1" si="109"/>
        <v/>
      </c>
      <c r="Z209" s="315" t="str">
        <f t="shared" ca="1" si="110"/>
        <v/>
      </c>
      <c r="AA209" s="316" t="str">
        <f t="shared" ca="1" si="111"/>
        <v/>
      </c>
      <c r="AC209" s="310" t="e">
        <f t="shared" ca="1" si="112"/>
        <v>#N/A</v>
      </c>
      <c r="AD209" s="323" t="e">
        <f t="shared" ca="1" si="113"/>
        <v>#N/A</v>
      </c>
      <c r="AE209" s="324">
        <f t="shared" ca="1" si="92"/>
        <v>178.11227415803469</v>
      </c>
      <c r="AG209" s="306">
        <f t="shared" ca="1" si="114"/>
        <v>-21.298250357114028</v>
      </c>
      <c r="AH209" s="304">
        <f t="shared" ca="1" si="115"/>
        <v>-11.754242865709305</v>
      </c>
    </row>
    <row r="210" spans="1:34" x14ac:dyDescent="0.3">
      <c r="A210" s="347">
        <f t="shared" ca="1" si="93"/>
        <v>0.1</v>
      </c>
      <c r="B210" s="304">
        <f t="shared" ca="1" si="94"/>
        <v>2.6000000000000019</v>
      </c>
      <c r="D210" s="306">
        <f t="shared" ca="1" si="95"/>
        <v>-2.5756592762918333</v>
      </c>
      <c r="E210" s="307">
        <f t="shared" ca="1" si="96"/>
        <v>-20.466902930341842</v>
      </c>
      <c r="F210" s="304">
        <f t="shared" ca="1" si="97"/>
        <v>20.628333337125994</v>
      </c>
      <c r="G210" s="306">
        <f t="shared" ca="1" si="98"/>
        <v>13.989410329795566</v>
      </c>
      <c r="H210" s="307">
        <f t="shared" ca="1" si="99"/>
        <v>56.900797219696003</v>
      </c>
      <c r="I210" s="304">
        <f t="shared" ca="1" si="100"/>
        <v>58.595258559139026</v>
      </c>
      <c r="J210" s="306">
        <f t="shared" ca="1" si="101"/>
        <v>38.387676933981773</v>
      </c>
      <c r="K210" s="307">
        <f t="shared" ca="1" si="102"/>
        <v>183.90468839465601</v>
      </c>
      <c r="L210" s="304">
        <f t="shared" ca="1" si="87"/>
        <v>187.86843309593891</v>
      </c>
      <c r="M210" s="306">
        <f t="shared" ca="1" si="103"/>
        <v>1.3297215544008298</v>
      </c>
      <c r="N210" s="304">
        <f t="shared" ca="1" si="104"/>
        <v>76.187432994743048</v>
      </c>
      <c r="P210" s="310">
        <f t="shared" ca="1" si="105"/>
        <v>23</v>
      </c>
      <c r="Q210" s="304">
        <f t="shared" ca="1" si="106"/>
        <v>0</v>
      </c>
      <c r="R210" s="306">
        <f t="shared" ca="1" si="107"/>
        <v>0</v>
      </c>
      <c r="S210" s="307">
        <f t="shared" ca="1" si="108"/>
        <v>0.4270000000000001</v>
      </c>
      <c r="T210" s="304">
        <f t="shared" ca="1" si="88"/>
        <v>4.1888700000000014</v>
      </c>
      <c r="U210" s="311">
        <f t="shared" ca="1" si="89"/>
        <v>0</v>
      </c>
      <c r="V210" s="306">
        <f t="shared" ca="1" si="90"/>
        <v>1.2026769414281877</v>
      </c>
      <c r="W210" s="304">
        <f t="shared" ca="1" si="91"/>
        <v>4.3679124618299419</v>
      </c>
      <c r="Y210" s="314" t="str">
        <f t="shared" ca="1" si="109"/>
        <v/>
      </c>
      <c r="Z210" s="315" t="str">
        <f t="shared" ca="1" si="110"/>
        <v/>
      </c>
      <c r="AA210" s="316" t="str">
        <f t="shared" ca="1" si="111"/>
        <v/>
      </c>
      <c r="AC210" s="310" t="e">
        <f t="shared" ca="1" si="112"/>
        <v>#N/A</v>
      </c>
      <c r="AD210" s="323" t="e">
        <f t="shared" ca="1" si="113"/>
        <v>#N/A</v>
      </c>
      <c r="AE210" s="324">
        <f t="shared" ca="1" si="92"/>
        <v>183.90468839465601</v>
      </c>
      <c r="AG210" s="306">
        <f t="shared" ca="1" si="114"/>
        <v>-20.499192148318645</v>
      </c>
      <c r="AH210" s="304">
        <f t="shared" ca="1" si="115"/>
        <v>-10.963740273021644</v>
      </c>
    </row>
    <row r="211" spans="1:34" x14ac:dyDescent="0.3">
      <c r="A211" s="347">
        <f t="shared" ca="1" si="93"/>
        <v>0.1</v>
      </c>
      <c r="B211" s="304">
        <f t="shared" ca="1" si="94"/>
        <v>2.700000000000002</v>
      </c>
      <c r="D211" s="306">
        <f t="shared" ca="1" si="95"/>
        <v>-2.4422098856093672</v>
      </c>
      <c r="E211" s="307">
        <f t="shared" ca="1" si="96"/>
        <v>-19.743491562044007</v>
      </c>
      <c r="F211" s="304">
        <f t="shared" ca="1" si="97"/>
        <v>19.893965119751041</v>
      </c>
      <c r="G211" s="306">
        <f t="shared" ca="1" si="98"/>
        <v>13.74518934123463</v>
      </c>
      <c r="H211" s="307">
        <f t="shared" ca="1" si="99"/>
        <v>54.926448063491605</v>
      </c>
      <c r="I211" s="304">
        <f t="shared" ca="1" si="100"/>
        <v>56.620181268676909</v>
      </c>
      <c r="J211" s="306">
        <f t="shared" ca="1" si="101"/>
        <v>39.774406917533284</v>
      </c>
      <c r="K211" s="307">
        <f t="shared" ca="1" si="102"/>
        <v>189.49605065881539</v>
      </c>
      <c r="L211" s="304">
        <f t="shared" ca="1" si="87"/>
        <v>193.62529964064575</v>
      </c>
      <c r="M211" s="306">
        <f t="shared" ca="1" si="103"/>
        <v>1.3255850268202622</v>
      </c>
      <c r="N211" s="304">
        <f t="shared" ca="1" si="104"/>
        <v>75.950427422537061</v>
      </c>
      <c r="P211" s="310">
        <f t="shared" ca="1" si="105"/>
        <v>23</v>
      </c>
      <c r="Q211" s="304">
        <f t="shared" ca="1" si="106"/>
        <v>0</v>
      </c>
      <c r="R211" s="306">
        <f t="shared" ca="1" si="107"/>
        <v>0</v>
      </c>
      <c r="S211" s="307">
        <f t="shared" ca="1" si="108"/>
        <v>0.4270000000000001</v>
      </c>
      <c r="T211" s="304">
        <f t="shared" ca="1" si="88"/>
        <v>4.1888700000000014</v>
      </c>
      <c r="U211" s="311">
        <f t="shared" ca="1" si="89"/>
        <v>0</v>
      </c>
      <c r="V211" s="306">
        <f t="shared" ca="1" si="90"/>
        <v>1.2020046105683284</v>
      </c>
      <c r="W211" s="304">
        <f t="shared" ca="1" si="91"/>
        <v>4.0761357199439008</v>
      </c>
      <c r="Y211" s="314" t="str">
        <f t="shared" ca="1" si="109"/>
        <v/>
      </c>
      <c r="Z211" s="315" t="str">
        <f t="shared" ca="1" si="110"/>
        <v/>
      </c>
      <c r="AA211" s="316" t="str">
        <f t="shared" ca="1" si="111"/>
        <v/>
      </c>
      <c r="AC211" s="310" t="e">
        <f t="shared" ca="1" si="112"/>
        <v>#N/A</v>
      </c>
      <c r="AD211" s="323" t="e">
        <f t="shared" ca="1" si="113"/>
        <v>#N/A</v>
      </c>
      <c r="AE211" s="324">
        <f t="shared" ca="1" si="92"/>
        <v>189.49605065881539</v>
      </c>
      <c r="AG211" s="306">
        <f t="shared" ca="1" si="114"/>
        <v>-19.755616997808616</v>
      </c>
      <c r="AH211" s="304">
        <f t="shared" ca="1" si="115"/>
        <v>-10.229303189297285</v>
      </c>
    </row>
    <row r="212" spans="1:34" x14ac:dyDescent="0.3">
      <c r="A212" s="347">
        <f t="shared" ca="1" si="93"/>
        <v>0.1</v>
      </c>
      <c r="B212" s="304">
        <f t="shared" ca="1" si="94"/>
        <v>2.800000000000002</v>
      </c>
      <c r="D212" s="306">
        <f t="shared" ca="1" si="95"/>
        <v>-2.3173958888071442</v>
      </c>
      <c r="E212" s="307">
        <f t="shared" ca="1" si="96"/>
        <v>-19.070427177038901</v>
      </c>
      <c r="F212" s="304">
        <f t="shared" ca="1" si="97"/>
        <v>19.210713584357144</v>
      </c>
      <c r="G212" s="306">
        <f t="shared" ca="1" si="98"/>
        <v>13.513449752353916</v>
      </c>
      <c r="H212" s="307">
        <f t="shared" ca="1" si="99"/>
        <v>53.019405345787717</v>
      </c>
      <c r="I212" s="304">
        <f t="shared" ca="1" si="100"/>
        <v>54.714446606269696</v>
      </c>
      <c r="J212" s="306">
        <f t="shared" ca="1" si="101"/>
        <v>41.137338872212709</v>
      </c>
      <c r="K212" s="307">
        <f t="shared" ca="1" si="102"/>
        <v>194.89334332927936</v>
      </c>
      <c r="L212" s="304">
        <f t="shared" ca="1" si="87"/>
        <v>199.18758978297726</v>
      </c>
      <c r="M212" s="306">
        <f t="shared" ca="1" si="103"/>
        <v>1.3212324360290453</v>
      </c>
      <c r="N212" s="304">
        <f t="shared" ca="1" si="104"/>
        <v>75.701042340252826</v>
      </c>
      <c r="P212" s="310">
        <f t="shared" ca="1" si="105"/>
        <v>23</v>
      </c>
      <c r="Q212" s="304">
        <f t="shared" ca="1" si="106"/>
        <v>0</v>
      </c>
      <c r="R212" s="306">
        <f t="shared" ca="1" si="107"/>
        <v>0</v>
      </c>
      <c r="S212" s="307">
        <f t="shared" ca="1" si="108"/>
        <v>0.4270000000000001</v>
      </c>
      <c r="T212" s="304">
        <f t="shared" ca="1" si="88"/>
        <v>4.1888700000000014</v>
      </c>
      <c r="U212" s="311">
        <f t="shared" ca="1" si="89"/>
        <v>0</v>
      </c>
      <c r="V212" s="306">
        <f t="shared" ca="1" si="90"/>
        <v>1.2013559686580639</v>
      </c>
      <c r="W212" s="304">
        <f t="shared" ca="1" si="91"/>
        <v>3.8043084689952718</v>
      </c>
      <c r="Y212" s="314" t="str">
        <f t="shared" ca="1" si="109"/>
        <v/>
      </c>
      <c r="Z212" s="315" t="str">
        <f t="shared" ca="1" si="110"/>
        <v/>
      </c>
      <c r="AA212" s="316" t="str">
        <f t="shared" ca="1" si="111"/>
        <v/>
      </c>
      <c r="AC212" s="310" t="e">
        <f t="shared" ca="1" si="112"/>
        <v>#N/A</v>
      </c>
      <c r="AD212" s="323" t="e">
        <f t="shared" ca="1" si="113"/>
        <v>#N/A</v>
      </c>
      <c r="AE212" s="324">
        <f t="shared" ca="1" si="92"/>
        <v>194.89334332927936</v>
      </c>
      <c r="AG212" s="306">
        <f t="shared" ca="1" si="114"/>
        <v>-19.062529454591775</v>
      </c>
      <c r="AH212" s="304">
        <f t="shared" ca="1" si="115"/>
        <v>-9.5459852926086644</v>
      </c>
    </row>
    <row r="213" spans="1:34" x14ac:dyDescent="0.3">
      <c r="A213" s="347">
        <f t="shared" ca="1" si="93"/>
        <v>0.1</v>
      </c>
      <c r="B213" s="304">
        <f t="shared" ca="1" si="94"/>
        <v>2.9000000000000021</v>
      </c>
      <c r="D213" s="306">
        <f t="shared" ca="1" si="95"/>
        <v>-2.2004528598716098</v>
      </c>
      <c r="E213" s="307">
        <f t="shared" ca="1" si="96"/>
        <v>-18.443376692099548</v>
      </c>
      <c r="F213" s="304">
        <f t="shared" ca="1" si="97"/>
        <v>18.57417929802547</v>
      </c>
      <c r="G213" s="306">
        <f t="shared" ca="1" si="98"/>
        <v>13.293404466366754</v>
      </c>
      <c r="H213" s="307">
        <f t="shared" ca="1" si="99"/>
        <v>51.175067676577761</v>
      </c>
      <c r="I213" s="304">
        <f t="shared" ca="1" si="100"/>
        <v>52.873454152426369</v>
      </c>
      <c r="J213" s="306">
        <f t="shared" ca="1" si="101"/>
        <v>42.477681583148744</v>
      </c>
      <c r="K213" s="307">
        <f t="shared" ca="1" si="102"/>
        <v>200.10306698039764</v>
      </c>
      <c r="L213" s="304">
        <f t="shared" ca="1" si="87"/>
        <v>204.56194867971141</v>
      </c>
      <c r="M213" s="306">
        <f t="shared" ca="1" si="103"/>
        <v>1.3166499931068545</v>
      </c>
      <c r="N213" s="304">
        <f t="shared" ca="1" si="104"/>
        <v>75.438487700951697</v>
      </c>
      <c r="P213" s="310">
        <f t="shared" ca="1" si="105"/>
        <v>23</v>
      </c>
      <c r="Q213" s="304">
        <f t="shared" ca="1" si="106"/>
        <v>0</v>
      </c>
      <c r="R213" s="306">
        <f t="shared" ca="1" si="107"/>
        <v>0</v>
      </c>
      <c r="S213" s="307">
        <f t="shared" ca="1" si="108"/>
        <v>0.4270000000000001</v>
      </c>
      <c r="T213" s="304">
        <f t="shared" ca="1" si="88"/>
        <v>4.1888700000000014</v>
      </c>
      <c r="U213" s="311">
        <f t="shared" ca="1" si="89"/>
        <v>0</v>
      </c>
      <c r="V213" s="306">
        <f t="shared" ca="1" si="90"/>
        <v>1.2007301973917472</v>
      </c>
      <c r="W213" s="304">
        <f t="shared" ca="1" si="91"/>
        <v>3.5507556841347991</v>
      </c>
      <c r="Y213" s="314" t="str">
        <f t="shared" ca="1" si="109"/>
        <v/>
      </c>
      <c r="Z213" s="315" t="str">
        <f t="shared" ca="1" si="110"/>
        <v/>
      </c>
      <c r="AA213" s="316" t="str">
        <f t="shared" ca="1" si="111"/>
        <v/>
      </c>
      <c r="AC213" s="310" t="e">
        <f t="shared" ca="1" si="112"/>
        <v>#N/A</v>
      </c>
      <c r="AD213" s="323" t="e">
        <f t="shared" ca="1" si="113"/>
        <v>#N/A</v>
      </c>
      <c r="AE213" s="324">
        <f t="shared" ca="1" si="92"/>
        <v>200.10306698039764</v>
      </c>
      <c r="AG213" s="306">
        <f t="shared" ca="1" si="114"/>
        <v>-18.415475919705607</v>
      </c>
      <c r="AH213" s="304">
        <f t="shared" ca="1" si="115"/>
        <v>-8.9093875152114066</v>
      </c>
    </row>
    <row r="214" spans="1:34" x14ac:dyDescent="0.3">
      <c r="A214" s="347">
        <f t="shared" ca="1" si="93"/>
        <v>0.1</v>
      </c>
      <c r="B214" s="304">
        <f t="shared" ca="1" si="94"/>
        <v>3.0000000000000022</v>
      </c>
      <c r="D214" s="306">
        <f t="shared" ca="1" si="95"/>
        <v>-2.0906987113307096</v>
      </c>
      <c r="E214" s="307">
        <f t="shared" ca="1" si="96"/>
        <v>-17.858476093116657</v>
      </c>
      <c r="F214" s="304">
        <f t="shared" ca="1" si="97"/>
        <v>17.980439078898463</v>
      </c>
      <c r="G214" s="306">
        <f t="shared" ca="1" si="98"/>
        <v>13.084334595233683</v>
      </c>
      <c r="H214" s="307">
        <f t="shared" ca="1" si="99"/>
        <v>49.389220067266095</v>
      </c>
      <c r="I214" s="304">
        <f t="shared" ca="1" si="100"/>
        <v>51.093002169111855</v>
      </c>
      <c r="J214" s="306">
        <f t="shared" ca="1" si="101"/>
        <v>43.796568536228769</v>
      </c>
      <c r="K214" s="307">
        <f t="shared" ca="1" si="102"/>
        <v>205.13128136758985</v>
      </c>
      <c r="L214" s="304">
        <f t="shared" ca="1" si="87"/>
        <v>209.75457566179074</v>
      </c>
      <c r="M214" s="306">
        <f t="shared" ca="1" si="103"/>
        <v>1.3118226540022058</v>
      </c>
      <c r="N214" s="304">
        <f t="shared" ca="1" si="104"/>
        <v>75.161901543976867</v>
      </c>
      <c r="P214" s="310">
        <f t="shared" ca="1" si="105"/>
        <v>23</v>
      </c>
      <c r="Q214" s="304">
        <f t="shared" ca="1" si="106"/>
        <v>0</v>
      </c>
      <c r="R214" s="306">
        <f t="shared" ca="1" si="107"/>
        <v>0</v>
      </c>
      <c r="S214" s="307">
        <f t="shared" ca="1" si="108"/>
        <v>0.4270000000000001</v>
      </c>
      <c r="T214" s="304">
        <f t="shared" ca="1" si="88"/>
        <v>4.1888700000000014</v>
      </c>
      <c r="U214" s="311">
        <f t="shared" ca="1" si="89"/>
        <v>0</v>
      </c>
      <c r="V214" s="306">
        <f t="shared" ca="1" si="90"/>
        <v>1.2001265343267506</v>
      </c>
      <c r="W214" s="304">
        <f t="shared" ca="1" si="91"/>
        <v>3.3139799284959466</v>
      </c>
      <c r="Y214" s="314" t="str">
        <f t="shared" ca="1" si="109"/>
        <v/>
      </c>
      <c r="Z214" s="315" t="str">
        <f t="shared" ca="1" si="110"/>
        <v/>
      </c>
      <c r="AA214" s="316" t="str">
        <f t="shared" ca="1" si="111"/>
        <v/>
      </c>
      <c r="AC214" s="310">
        <f t="shared" ca="1" si="112"/>
        <v>3.0000000000000022</v>
      </c>
      <c r="AD214" s="323">
        <f t="shared" ca="1" si="113"/>
        <v>43.796568536228769</v>
      </c>
      <c r="AE214" s="324">
        <f t="shared" ca="1" si="92"/>
        <v>205.13128136758985</v>
      </c>
      <c r="AG214" s="306">
        <f t="shared" ca="1" si="114"/>
        <v>-17.810472974548553</v>
      </c>
      <c r="AH214" s="304">
        <f t="shared" ca="1" si="115"/>
        <v>-8.3155870822828994</v>
      </c>
    </row>
    <row r="215" spans="1:34" x14ac:dyDescent="0.3">
      <c r="A215" s="347">
        <f t="shared" ca="1" si="93"/>
        <v>0.1</v>
      </c>
      <c r="B215" s="304">
        <f t="shared" ca="1" si="94"/>
        <v>3.1000000000000023</v>
      </c>
      <c r="D215" s="306">
        <f t="shared" ca="1" si="95"/>
        <v>-1.9875232515783026</v>
      </c>
      <c r="E215" s="307">
        <f t="shared" ca="1" si="96"/>
        <v>-17.312270944429017</v>
      </c>
      <c r="F215" s="304">
        <f t="shared" ca="1" si="97"/>
        <v>17.425985594189086</v>
      </c>
      <c r="G215" s="306">
        <f t="shared" ca="1" si="98"/>
        <v>12.885582270075853</v>
      </c>
      <c r="H215" s="307">
        <f t="shared" ca="1" si="99"/>
        <v>47.657992972823195</v>
      </c>
      <c r="I215" s="304">
        <f t="shared" ca="1" si="100"/>
        <v>49.36924674973843</v>
      </c>
      <c r="J215" s="306">
        <f t="shared" ca="1" si="101"/>
        <v>45.095064379494247</v>
      </c>
      <c r="K215" s="307">
        <f t="shared" ca="1" si="102"/>
        <v>209.98364201959433</v>
      </c>
      <c r="L215" s="304">
        <f t="shared" ca="1" si="87"/>
        <v>214.7712614555399</v>
      </c>
      <c r="M215" s="306">
        <f t="shared" ca="1" si="103"/>
        <v>1.3067339803439875</v>
      </c>
      <c r="N215" s="304">
        <f t="shared" ca="1" si="104"/>
        <v>74.870342020041562</v>
      </c>
      <c r="P215" s="310">
        <f t="shared" ca="1" si="105"/>
        <v>23</v>
      </c>
      <c r="Q215" s="304">
        <f t="shared" ca="1" si="106"/>
        <v>0</v>
      </c>
      <c r="R215" s="306">
        <f t="shared" ca="1" si="107"/>
        <v>0</v>
      </c>
      <c r="S215" s="307">
        <f t="shared" ca="1" si="108"/>
        <v>0.4270000000000001</v>
      </c>
      <c r="T215" s="304">
        <f t="shared" ca="1" si="88"/>
        <v>4.1888700000000014</v>
      </c>
      <c r="U215" s="311">
        <f t="shared" ca="1" si="89"/>
        <v>0</v>
      </c>
      <c r="V215" s="306">
        <f t="shared" ca="1" si="90"/>
        <v>1.1995442682161126</v>
      </c>
      <c r="W215" s="304">
        <f t="shared" ca="1" si="91"/>
        <v>3.0926393222628046</v>
      </c>
      <c r="Y215" s="314" t="str">
        <f t="shared" ca="1" si="109"/>
        <v/>
      </c>
      <c r="Z215" s="315" t="str">
        <f t="shared" ca="1" si="110"/>
        <v/>
      </c>
      <c r="AA215" s="316" t="str">
        <f t="shared" ca="1" si="111"/>
        <v/>
      </c>
      <c r="AC215" s="310" t="e">
        <f t="shared" ca="1" si="112"/>
        <v>#N/A</v>
      </c>
      <c r="AD215" s="323" t="e">
        <f t="shared" ca="1" si="113"/>
        <v>#N/A</v>
      </c>
      <c r="AE215" s="324">
        <f t="shared" ca="1" si="92"/>
        <v>209.98364201959433</v>
      </c>
      <c r="AG215" s="306">
        <f t="shared" ca="1" si="114"/>
        <v>-17.243946164326829</v>
      </c>
      <c r="AH215" s="304">
        <f t="shared" ca="1" si="115"/>
        <v>-7.7610771159155636</v>
      </c>
    </row>
    <row r="216" spans="1:34" x14ac:dyDescent="0.3">
      <c r="A216" s="347">
        <f t="shared" ca="1" si="93"/>
        <v>0.1</v>
      </c>
      <c r="B216" s="304">
        <f t="shared" ca="1" si="94"/>
        <v>3.2000000000000024</v>
      </c>
      <c r="D216" s="306">
        <f t="shared" ca="1" si="95"/>
        <v>-1.890379267588211</v>
      </c>
      <c r="E216" s="307">
        <f t="shared" ca="1" si="96"/>
        <v>-16.801665565622848</v>
      </c>
      <c r="F216" s="304">
        <f t="shared" ca="1" si="97"/>
        <v>16.907675758493948</v>
      </c>
      <c r="G216" s="306">
        <f t="shared" ca="1" si="98"/>
        <v>12.696544343317031</v>
      </c>
      <c r="H216" s="307">
        <f t="shared" ca="1" si="99"/>
        <v>45.97782641626091</v>
      </c>
      <c r="I216" s="304">
        <f t="shared" ca="1" si="100"/>
        <v>47.698666231097441</v>
      </c>
      <c r="J216" s="306">
        <f t="shared" ca="1" si="101"/>
        <v>46.374170710163888</v>
      </c>
      <c r="K216" s="307">
        <f t="shared" ca="1" si="102"/>
        <v>214.66543298904853</v>
      </c>
      <c r="L216" s="304">
        <f t="shared" ca="1" si="87"/>
        <v>219.61742150710882</v>
      </c>
      <c r="M216" s="306">
        <f t="shared" ca="1" si="103"/>
        <v>1.3013659816080723</v>
      </c>
      <c r="N216" s="304">
        <f t="shared" ca="1" si="104"/>
        <v>74.562778348042059</v>
      </c>
      <c r="P216" s="310">
        <f t="shared" ca="1" si="105"/>
        <v>23</v>
      </c>
      <c r="Q216" s="304">
        <f t="shared" ca="1" si="106"/>
        <v>0</v>
      </c>
      <c r="R216" s="306">
        <f t="shared" ca="1" si="107"/>
        <v>0</v>
      </c>
      <c r="S216" s="307">
        <f t="shared" ca="1" si="108"/>
        <v>0.4270000000000001</v>
      </c>
      <c r="T216" s="304">
        <f t="shared" ca="1" si="88"/>
        <v>4.1888700000000014</v>
      </c>
      <c r="U216" s="311">
        <f t="shared" ca="1" si="89"/>
        <v>0</v>
      </c>
      <c r="V216" s="306">
        <f t="shared" ca="1" si="90"/>
        <v>1.1989827348334501</v>
      </c>
      <c r="W216" s="304">
        <f t="shared" ca="1" si="91"/>
        <v>2.8855286556330522</v>
      </c>
      <c r="Y216" s="314" t="str">
        <f t="shared" ca="1" si="109"/>
        <v/>
      </c>
      <c r="Z216" s="315" t="str">
        <f t="shared" ca="1" si="110"/>
        <v/>
      </c>
      <c r="AA216" s="316" t="str">
        <f t="shared" ca="1" si="111"/>
        <v/>
      </c>
      <c r="AC216" s="310" t="e">
        <f t="shared" ca="1" si="112"/>
        <v>#N/A</v>
      </c>
      <c r="AD216" s="323" t="e">
        <f t="shared" ca="1" si="113"/>
        <v>#N/A</v>
      </c>
      <c r="AE216" s="324">
        <f t="shared" ca="1" si="92"/>
        <v>214.66543298904853</v>
      </c>
      <c r="AG216" s="306">
        <f t="shared" ca="1" si="114"/>
        <v>-16.712677453129348</v>
      </c>
      <c r="AH216" s="304">
        <f t="shared" ca="1" si="115"/>
        <v>-7.242715040428112</v>
      </c>
    </row>
    <row r="217" spans="1:34" x14ac:dyDescent="0.3">
      <c r="A217" s="347">
        <f t="shared" ca="1" si="93"/>
        <v>0.1</v>
      </c>
      <c r="B217" s="304">
        <f t="shared" ca="1" si="94"/>
        <v>3.3000000000000025</v>
      </c>
      <c r="D217" s="306">
        <f t="shared" ca="1" si="95"/>
        <v>-1.7987748843625753</v>
      </c>
      <c r="E217" s="307">
        <f t="shared" ca="1" si="96"/>
        <v>-16.323879458758739</v>
      </c>
      <c r="F217" s="304">
        <f t="shared" ca="1" si="97"/>
        <v>16.422686493649543</v>
      </c>
      <c r="G217" s="306">
        <f t="shared" ca="1" si="98"/>
        <v>12.516666854880773</v>
      </c>
      <c r="H217" s="307">
        <f t="shared" ca="1" si="99"/>
        <v>44.345438470385034</v>
      </c>
      <c r="I217" s="304">
        <f t="shared" ca="1" si="100"/>
        <v>46.078030147639517</v>
      </c>
      <c r="J217" s="306">
        <f t="shared" ca="1" si="101"/>
        <v>47.634831270073775</v>
      </c>
      <c r="K217" s="307">
        <f t="shared" ca="1" si="102"/>
        <v>219.18159623338082</v>
      </c>
      <c r="L217" s="304">
        <f t="shared" ca="1" si="87"/>
        <v>224.29812588949818</v>
      </c>
      <c r="M217" s="306">
        <f t="shared" ca="1" si="103"/>
        <v>1.295698935764088</v>
      </c>
      <c r="N217" s="304">
        <f t="shared" ca="1" si="104"/>
        <v>74.238080538874598</v>
      </c>
      <c r="P217" s="310">
        <f t="shared" ca="1" si="105"/>
        <v>23</v>
      </c>
      <c r="Q217" s="304">
        <f t="shared" ca="1" si="106"/>
        <v>0</v>
      </c>
      <c r="R217" s="306">
        <f t="shared" ca="1" si="107"/>
        <v>0</v>
      </c>
      <c r="S217" s="307">
        <f t="shared" ca="1" si="108"/>
        <v>0.4270000000000001</v>
      </c>
      <c r="T217" s="304">
        <f t="shared" ca="1" si="88"/>
        <v>4.1888700000000014</v>
      </c>
      <c r="U217" s="311">
        <f t="shared" ca="1" si="89"/>
        <v>0</v>
      </c>
      <c r="V217" s="306">
        <f t="shared" ca="1" si="90"/>
        <v>1.1984413132294227</v>
      </c>
      <c r="W217" s="304">
        <f t="shared" ca="1" si="91"/>
        <v>2.6915631423851281</v>
      </c>
      <c r="Y217" s="314" t="str">
        <f t="shared" ca="1" si="109"/>
        <v/>
      </c>
      <c r="Z217" s="315" t="str">
        <f t="shared" ca="1" si="110"/>
        <v/>
      </c>
      <c r="AA217" s="316" t="str">
        <f t="shared" ca="1" si="111"/>
        <v/>
      </c>
      <c r="AC217" s="310" t="e">
        <f t="shared" ca="1" si="112"/>
        <v>#N/A</v>
      </c>
      <c r="AD217" s="323" t="e">
        <f t="shared" ca="1" si="113"/>
        <v>#N/A</v>
      </c>
      <c r="AE217" s="324">
        <f t="shared" ca="1" si="92"/>
        <v>219.18159623338082</v>
      </c>
      <c r="AG217" s="306">
        <f t="shared" ca="1" si="114"/>
        <v>-16.213759888605111</v>
      </c>
      <c r="AH217" s="304">
        <f t="shared" ca="1" si="115"/>
        <v>-6.7576783504286917</v>
      </c>
    </row>
    <row r="218" spans="1:34" x14ac:dyDescent="0.3">
      <c r="A218" s="347">
        <f t="shared" ca="1" si="93"/>
        <v>0.1</v>
      </c>
      <c r="B218" s="304">
        <f t="shared" ca="1" si="94"/>
        <v>3.4000000000000026</v>
      </c>
      <c r="D218" s="306">
        <f t="shared" ca="1" si="95"/>
        <v>-1.7122669975260134</v>
      </c>
      <c r="E218" s="307">
        <f t="shared" ca="1" si="96"/>
        <v>-15.876409824916927</v>
      </c>
      <c r="F218" s="304">
        <f t="shared" ca="1" si="97"/>
        <v>15.968476671227455</v>
      </c>
      <c r="G218" s="306">
        <f t="shared" ca="1" si="98"/>
        <v>12.345440155128172</v>
      </c>
      <c r="H218" s="307">
        <f t="shared" ca="1" si="99"/>
        <v>42.757797487893342</v>
      </c>
      <c r="I218" s="304">
        <f t="shared" ca="1" si="100"/>
        <v>44.504372129483521</v>
      </c>
      <c r="J218" s="306">
        <f t="shared" ca="1" si="101"/>
        <v>48.877936620574225</v>
      </c>
      <c r="K218" s="307">
        <f t="shared" ca="1" si="102"/>
        <v>223.53675803129474</v>
      </c>
      <c r="L218" s="304">
        <f t="shared" ca="1" si="87"/>
        <v>228.81812620381822</v>
      </c>
      <c r="M218" s="306">
        <f t="shared" ca="1" si="103"/>
        <v>1.2897111850289671</v>
      </c>
      <c r="N218" s="304">
        <f t="shared" ca="1" si="104"/>
        <v>73.895007692975824</v>
      </c>
      <c r="P218" s="310">
        <f t="shared" ca="1" si="105"/>
        <v>23</v>
      </c>
      <c r="Q218" s="304">
        <f t="shared" ca="1" si="106"/>
        <v>0</v>
      </c>
      <c r="R218" s="306">
        <f t="shared" ca="1" si="107"/>
        <v>0</v>
      </c>
      <c r="S218" s="307">
        <f t="shared" ca="1" si="108"/>
        <v>0.4270000000000001</v>
      </c>
      <c r="T218" s="304">
        <f t="shared" ca="1" si="88"/>
        <v>4.1888700000000014</v>
      </c>
      <c r="U218" s="311">
        <f t="shared" ca="1" si="89"/>
        <v>0</v>
      </c>
      <c r="V218" s="306">
        <f t="shared" ca="1" si="90"/>
        <v>1.1979194223676439</v>
      </c>
      <c r="W218" s="304">
        <f t="shared" ca="1" si="91"/>
        <v>2.5097643998557695</v>
      </c>
      <c r="Y218" s="314" t="str">
        <f t="shared" ca="1" si="109"/>
        <v/>
      </c>
      <c r="Z218" s="315" t="str">
        <f t="shared" ca="1" si="110"/>
        <v/>
      </c>
      <c r="AA218" s="316" t="str">
        <f t="shared" ca="1" si="111"/>
        <v/>
      </c>
      <c r="AC218" s="310" t="e">
        <f t="shared" ca="1" si="112"/>
        <v>#N/A</v>
      </c>
      <c r="AD218" s="323" t="e">
        <f t="shared" ca="1" si="113"/>
        <v>#N/A</v>
      </c>
      <c r="AE218" s="324">
        <f t="shared" ca="1" si="92"/>
        <v>223.53675803129474</v>
      </c>
      <c r="AG218" s="306">
        <f t="shared" ca="1" si="114"/>
        <v>-15.744558269344221</v>
      </c>
      <c r="AH218" s="304">
        <f t="shared" ca="1" si="115"/>
        <v>-6.3034265629628274</v>
      </c>
    </row>
    <row r="219" spans="1:34" x14ac:dyDescent="0.3">
      <c r="A219" s="347">
        <f t="shared" ca="1" si="93"/>
        <v>0.1</v>
      </c>
      <c r="B219" s="304">
        <f t="shared" ca="1" si="94"/>
        <v>3.5000000000000027</v>
      </c>
      <c r="D219" s="306">
        <f t="shared" ca="1" si="95"/>
        <v>-1.6304556116868463</v>
      </c>
      <c r="E219" s="307">
        <f t="shared" ca="1" si="96"/>
        <v>-15.45699921440603</v>
      </c>
      <c r="F219" s="304">
        <f t="shared" ca="1" si="97"/>
        <v>15.542754267369403</v>
      </c>
      <c r="G219" s="306">
        <f t="shared" ca="1" si="98"/>
        <v>12.182394593959486</v>
      </c>
      <c r="H219" s="307">
        <f t="shared" ca="1" si="99"/>
        <v>41.212097566452741</v>
      </c>
      <c r="I219" s="304">
        <f t="shared" ca="1" si="100"/>
        <v>42.974966246289867</v>
      </c>
      <c r="J219" s="306">
        <f t="shared" ca="1" si="101"/>
        <v>50.10432835802861</v>
      </c>
      <c r="K219" s="307">
        <f t="shared" ca="1" si="102"/>
        <v>227.73525278401203</v>
      </c>
      <c r="L219" s="304">
        <f t="shared" ca="1" si="87"/>
        <v>233.18187982947347</v>
      </c>
      <c r="M219" s="306">
        <f t="shared" ca="1" si="103"/>
        <v>1.2833789027616107</v>
      </c>
      <c r="N219" s="304">
        <f t="shared" ca="1" si="104"/>
        <v>73.532194644370762</v>
      </c>
      <c r="P219" s="310">
        <f t="shared" ca="1" si="105"/>
        <v>23</v>
      </c>
      <c r="Q219" s="304">
        <f t="shared" ca="1" si="106"/>
        <v>0</v>
      </c>
      <c r="R219" s="306">
        <f t="shared" ca="1" si="107"/>
        <v>0</v>
      </c>
      <c r="S219" s="307">
        <f t="shared" ca="1" si="108"/>
        <v>0.4270000000000001</v>
      </c>
      <c r="T219" s="304">
        <f t="shared" ca="1" si="88"/>
        <v>4.1888700000000014</v>
      </c>
      <c r="U219" s="311">
        <f t="shared" ca="1" si="89"/>
        <v>0</v>
      </c>
      <c r="V219" s="306">
        <f t="shared" ca="1" si="90"/>
        <v>1.1974165180951715</v>
      </c>
      <c r="W219" s="304">
        <f t="shared" ca="1" si="91"/>
        <v>2.339248313012527</v>
      </c>
      <c r="Y219" s="314" t="str">
        <f t="shared" ca="1" si="109"/>
        <v/>
      </c>
      <c r="Z219" s="315" t="str">
        <f t="shared" ca="1" si="110"/>
        <v/>
      </c>
      <c r="AA219" s="316" t="str">
        <f t="shared" ca="1" si="111"/>
        <v>Satellite</v>
      </c>
      <c r="AC219" s="310" t="e">
        <f t="shared" ca="1" si="112"/>
        <v>#N/A</v>
      </c>
      <c r="AD219" s="323" t="e">
        <f t="shared" ca="1" si="113"/>
        <v>#N/A</v>
      </c>
      <c r="AE219" s="324">
        <f t="shared" ca="1" si="92"/>
        <v>227.73525278401203</v>
      </c>
      <c r="AG219" s="306">
        <f t="shared" ca="1" si="114"/>
        <v>-15.302674810877644</v>
      </c>
      <c r="AH219" s="304">
        <f t="shared" ca="1" si="115"/>
        <v>-5.8776683837371637</v>
      </c>
    </row>
    <row r="220" spans="1:34" x14ac:dyDescent="0.3">
      <c r="A220" s="347">
        <f t="shared" ca="1" si="93"/>
        <v>0.1</v>
      </c>
      <c r="B220" s="304">
        <f t="shared" ca="1" si="94"/>
        <v>3.6000000000000028</v>
      </c>
      <c r="D220" s="306">
        <f t="shared" ca="1" si="95"/>
        <v>-1.5529789464328707</v>
      </c>
      <c r="E220" s="307">
        <f t="shared" ca="1" si="96"/>
        <v>-15.063607520706391</v>
      </c>
      <c r="F220" s="304">
        <f t="shared" ca="1" si="97"/>
        <v>15.143447927930609</v>
      </c>
      <c r="G220" s="306">
        <f t="shared" ca="1" si="98"/>
        <v>12.0270966993162</v>
      </c>
      <c r="H220" s="307">
        <f t="shared" ca="1" si="99"/>
        <v>39.705736814382099</v>
      </c>
      <c r="I220" s="304">
        <f t="shared" ca="1" si="100"/>
        <v>41.487306383852889</v>
      </c>
      <c r="J220" s="306">
        <f t="shared" ca="1" si="101"/>
        <v>51.314802922692394</v>
      </c>
      <c r="K220" s="307">
        <f t="shared" ca="1" si="102"/>
        <v>231.78114450305378</v>
      </c>
      <c r="L220" s="304">
        <f t="shared" ca="1" si="87"/>
        <v>237.39357182986288</v>
      </c>
      <c r="M220" s="306">
        <f t="shared" ca="1" si="103"/>
        <v>1.2766758268284966</v>
      </c>
      <c r="N220" s="304">
        <f t="shared" ca="1" si="104"/>
        <v>73.148136683647607</v>
      </c>
      <c r="P220" s="310">
        <f t="shared" ca="1" si="105"/>
        <v>23</v>
      </c>
      <c r="Q220" s="304">
        <f t="shared" ca="1" si="106"/>
        <v>0</v>
      </c>
      <c r="R220" s="306">
        <f t="shared" ca="1" si="107"/>
        <v>0</v>
      </c>
      <c r="S220" s="307">
        <f t="shared" ca="1" si="108"/>
        <v>0.4270000000000001</v>
      </c>
      <c r="T220" s="304">
        <f t="shared" ca="1" si="88"/>
        <v>4.1888700000000014</v>
      </c>
      <c r="U220" s="311">
        <f t="shared" ca="1" si="89"/>
        <v>0</v>
      </c>
      <c r="V220" s="306">
        <f t="shared" ca="1" si="90"/>
        <v>1.1969320904088188</v>
      </c>
      <c r="W220" s="304">
        <f t="shared" ca="1" si="91"/>
        <v>2.1792144985628119</v>
      </c>
      <c r="Y220" s="314" t="str">
        <f t="shared" ca="1" si="109"/>
        <v/>
      </c>
      <c r="Z220" s="315" t="str">
        <f t="shared" ca="1" si="110"/>
        <v/>
      </c>
      <c r="AA220" s="316" t="str">
        <f t="shared" ca="1" si="111"/>
        <v/>
      </c>
      <c r="AC220" s="310" t="e">
        <f t="shared" ca="1" si="112"/>
        <v>#N/A</v>
      </c>
      <c r="AD220" s="323" t="e">
        <f t="shared" ca="1" si="113"/>
        <v>#N/A</v>
      </c>
      <c r="AE220" s="324">
        <f t="shared" ca="1" si="92"/>
        <v>231.78114450305378</v>
      </c>
      <c r="AG220" s="306">
        <f t="shared" ca="1" si="114"/>
        <v>-14.885918967368324</v>
      </c>
      <c r="AH220" s="304">
        <f t="shared" ca="1" si="115"/>
        <v>-5.4783332857436218</v>
      </c>
    </row>
    <row r="221" spans="1:34" x14ac:dyDescent="0.3">
      <c r="A221" s="347">
        <f t="shared" ca="1" si="93"/>
        <v>0.1</v>
      </c>
      <c r="B221" s="304">
        <f t="shared" ca="1" si="94"/>
        <v>3.7000000000000028</v>
      </c>
      <c r="D221" s="306">
        <f t="shared" ca="1" si="95"/>
        <v>-1.4795091955747122</v>
      </c>
      <c r="E221" s="307">
        <f t="shared" ca="1" si="96"/>
        <v>-14.694387662509412</v>
      </c>
      <c r="F221" s="304">
        <f t="shared" ca="1" si="97"/>
        <v>14.768682278250113</v>
      </c>
      <c r="G221" s="306">
        <f t="shared" ca="1" si="98"/>
        <v>11.879145779758728</v>
      </c>
      <c r="H221" s="307">
        <f t="shared" ca="1" si="99"/>
        <v>38.236298048131161</v>
      </c>
      <c r="I221" s="304">
        <f t="shared" ca="1" si="100"/>
        <v>40.03908831232647</v>
      </c>
      <c r="J221" s="306">
        <f t="shared" ca="1" si="101"/>
        <v>52.510115046646142</v>
      </c>
      <c r="K221" s="307">
        <f t="shared" ca="1" si="102"/>
        <v>235.67824624617944</v>
      </c>
      <c r="L221" s="304">
        <f t="shared" ca="1" si="87"/>
        <v>241.45713477941962</v>
      </c>
      <c r="M221" s="306">
        <f t="shared" ca="1" si="103"/>
        <v>1.2695729539315128</v>
      </c>
      <c r="N221" s="304">
        <f t="shared" ca="1" si="104"/>
        <v>72.741172044232584</v>
      </c>
      <c r="P221" s="310">
        <f t="shared" ca="1" si="105"/>
        <v>23</v>
      </c>
      <c r="Q221" s="304">
        <f t="shared" ca="1" si="106"/>
        <v>0</v>
      </c>
      <c r="R221" s="306">
        <f t="shared" ca="1" si="107"/>
        <v>0</v>
      </c>
      <c r="S221" s="307">
        <f t="shared" ca="1" si="108"/>
        <v>0.4270000000000001</v>
      </c>
      <c r="T221" s="304">
        <f t="shared" ca="1" si="88"/>
        <v>4.1888700000000014</v>
      </c>
      <c r="U221" s="311">
        <f t="shared" ca="1" si="89"/>
        <v>0</v>
      </c>
      <c r="V221" s="306">
        <f t="shared" ca="1" si="90"/>
        <v>1.1964656609837012</v>
      </c>
      <c r="W221" s="304">
        <f t="shared" ca="1" si="91"/>
        <v>2.0289371324677288</v>
      </c>
      <c r="Y221" s="314" t="str">
        <f t="shared" ca="1" si="109"/>
        <v/>
      </c>
      <c r="Z221" s="315" t="str">
        <f t="shared" ca="1" si="110"/>
        <v/>
      </c>
      <c r="AA221" s="316" t="str">
        <f t="shared" ca="1" si="111"/>
        <v/>
      </c>
      <c r="AC221" s="310" t="e">
        <f t="shared" ca="1" si="112"/>
        <v>#N/A</v>
      </c>
      <c r="AD221" s="323" t="e">
        <f t="shared" ca="1" si="113"/>
        <v>#N/A</v>
      </c>
      <c r="AE221" s="324">
        <f t="shared" ca="1" si="92"/>
        <v>235.67824624617944</v>
      </c>
      <c r="AG221" s="306">
        <f t="shared" ca="1" si="114"/>
        <v>-14.492280693663332</v>
      </c>
      <c r="AH221" s="304">
        <f t="shared" ca="1" si="115"/>
        <v>-5.1035468350417128</v>
      </c>
    </row>
    <row r="222" spans="1:34" x14ac:dyDescent="0.3">
      <c r="A222" s="347">
        <f t="shared" ca="1" si="93"/>
        <v>0.1</v>
      </c>
      <c r="B222" s="304">
        <f t="shared" ca="1" si="94"/>
        <v>3.8000000000000029</v>
      </c>
      <c r="D222" s="306">
        <f t="shared" ca="1" si="95"/>
        <v>-1.4097488446316537</v>
      </c>
      <c r="E222" s="307">
        <f t="shared" ca="1" si="96"/>
        <v>-14.34766440750248</v>
      </c>
      <c r="F222" s="304">
        <f t="shared" ca="1" si="97"/>
        <v>14.416756422831517</v>
      </c>
      <c r="G222" s="306">
        <f t="shared" ca="1" si="98"/>
        <v>11.738170895295562</v>
      </c>
      <c r="H222" s="307">
        <f t="shared" ca="1" si="99"/>
        <v>36.801531607380916</v>
      </c>
      <c r="I222" s="304">
        <f t="shared" ca="1" si="100"/>
        <v>38.628194167165262</v>
      </c>
      <c r="J222" s="306">
        <f t="shared" ca="1" si="101"/>
        <v>53.690980880398854</v>
      </c>
      <c r="K222" s="307">
        <f t="shared" ca="1" si="102"/>
        <v>239.43013772895503</v>
      </c>
      <c r="L222" s="304">
        <f t="shared" ca="1" si="87"/>
        <v>245.37626674315047</v>
      </c>
      <c r="M222" s="306">
        <f t="shared" ca="1" si="103"/>
        <v>1.2620381883909937</v>
      </c>
      <c r="N222" s="304">
        <f t="shared" ca="1" si="104"/>
        <v>72.309461779140221</v>
      </c>
      <c r="P222" s="310">
        <f t="shared" ca="1" si="105"/>
        <v>23</v>
      </c>
      <c r="Q222" s="304">
        <f t="shared" ca="1" si="106"/>
        <v>0</v>
      </c>
      <c r="R222" s="306">
        <f t="shared" ca="1" si="107"/>
        <v>0</v>
      </c>
      <c r="S222" s="307">
        <f t="shared" ca="1" si="108"/>
        <v>0.4270000000000001</v>
      </c>
      <c r="T222" s="304">
        <f t="shared" ca="1" si="88"/>
        <v>4.1888700000000014</v>
      </c>
      <c r="U222" s="311">
        <f t="shared" ca="1" si="89"/>
        <v>0</v>
      </c>
      <c r="V222" s="306">
        <f t="shared" ca="1" si="90"/>
        <v>1.196016780934833</v>
      </c>
      <c r="W222" s="304">
        <f t="shared" ca="1" si="91"/>
        <v>1.8877569430033225</v>
      </c>
      <c r="Y222" s="314" t="str">
        <f t="shared" ca="1" si="109"/>
        <v/>
      </c>
      <c r="Z222" s="315" t="str">
        <f t="shared" ca="1" si="110"/>
        <v/>
      </c>
      <c r="AA222" s="316" t="str">
        <f t="shared" ca="1" si="111"/>
        <v/>
      </c>
      <c r="AC222" s="310" t="e">
        <f t="shared" ca="1" si="112"/>
        <v>#N/A</v>
      </c>
      <c r="AD222" s="323" t="e">
        <f t="shared" ca="1" si="113"/>
        <v>#N/A</v>
      </c>
      <c r="AE222" s="324">
        <f t="shared" ca="1" si="92"/>
        <v>239.43013772895503</v>
      </c>
      <c r="AG222" s="306">
        <f t="shared" ca="1" si="114"/>
        <v>-14.119906532537236</v>
      </c>
      <c r="AH222" s="304">
        <f t="shared" ca="1" si="115"/>
        <v>-4.7516092095262961</v>
      </c>
    </row>
    <row r="223" spans="1:34" x14ac:dyDescent="0.3">
      <c r="A223" s="347">
        <f t="shared" ca="1" si="93"/>
        <v>0.1</v>
      </c>
      <c r="B223" s="304">
        <f t="shared" ca="1" si="94"/>
        <v>3.900000000000003</v>
      </c>
      <c r="D223" s="306">
        <f t="shared" ca="1" si="95"/>
        <v>-1.3434274674627724</v>
      </c>
      <c r="E223" s="307">
        <f t="shared" ca="1" si="96"/>
        <v>-14.021915880852411</v>
      </c>
      <c r="F223" s="304">
        <f t="shared" ca="1" si="97"/>
        <v>14.086125170891904</v>
      </c>
      <c r="G223" s="306">
        <f t="shared" ca="1" si="98"/>
        <v>11.603828148549285</v>
      </c>
      <c r="H223" s="307">
        <f t="shared" ca="1" si="99"/>
        <v>35.399340019295678</v>
      </c>
      <c r="I223" s="304">
        <f t="shared" ca="1" si="100"/>
        <v>37.252679118457685</v>
      </c>
      <c r="J223" s="306">
        <f t="shared" ca="1" si="101"/>
        <v>54.858080832591099</v>
      </c>
      <c r="K223" s="307">
        <f t="shared" ca="1" si="102"/>
        <v>243.04018131028886</v>
      </c>
      <c r="L223" s="304">
        <f t="shared" ca="1" si="87"/>
        <v>249.15444761025876</v>
      </c>
      <c r="M223" s="306">
        <f t="shared" ca="1" si="103"/>
        <v>1.2540359376889167</v>
      </c>
      <c r="N223" s="304">
        <f t="shared" ca="1" si="104"/>
        <v>71.850966587305621</v>
      </c>
      <c r="P223" s="310">
        <f t="shared" ca="1" si="105"/>
        <v>23</v>
      </c>
      <c r="Q223" s="304">
        <f t="shared" ca="1" si="106"/>
        <v>0</v>
      </c>
      <c r="R223" s="306">
        <f t="shared" ca="1" si="107"/>
        <v>0</v>
      </c>
      <c r="S223" s="307">
        <f t="shared" ca="1" si="108"/>
        <v>0.4270000000000001</v>
      </c>
      <c r="T223" s="304">
        <f t="shared" ca="1" si="88"/>
        <v>4.1888700000000014</v>
      </c>
      <c r="U223" s="311">
        <f t="shared" ca="1" si="89"/>
        <v>0</v>
      </c>
      <c r="V223" s="306">
        <f t="shared" ca="1" si="90"/>
        <v>1.1955850287863403</v>
      </c>
      <c r="W223" s="304">
        <f t="shared" ca="1" si="91"/>
        <v>1.7550742033416307</v>
      </c>
      <c r="Y223" s="314" t="str">
        <f t="shared" ca="1" si="109"/>
        <v/>
      </c>
      <c r="Z223" s="315" t="str">
        <f t="shared" ca="1" si="110"/>
        <v/>
      </c>
      <c r="AA223" s="316" t="str">
        <f t="shared" ca="1" si="111"/>
        <v/>
      </c>
      <c r="AC223" s="310" t="e">
        <f t="shared" ca="1" si="112"/>
        <v>#N/A</v>
      </c>
      <c r="AD223" s="323" t="e">
        <f t="shared" ca="1" si="113"/>
        <v>#N/A</v>
      </c>
      <c r="AE223" s="324">
        <f t="shared" ca="1" si="92"/>
        <v>243.04018131028886</v>
      </c>
      <c r="AG223" s="306">
        <f t="shared" ca="1" si="114"/>
        <v>-13.767077989262489</v>
      </c>
      <c r="AH223" s="304">
        <f t="shared" ca="1" si="115"/>
        <v>-4.4209764473145716</v>
      </c>
    </row>
    <row r="224" spans="1:34" x14ac:dyDescent="0.3">
      <c r="A224" s="347">
        <f t="shared" ca="1" si="93"/>
        <v>0.1</v>
      </c>
      <c r="B224" s="304">
        <f t="shared" ca="1" si="94"/>
        <v>4.0000000000000027</v>
      </c>
      <c r="D224" s="306">
        <f t="shared" ca="1" si="95"/>
        <v>-1.2802989360807329</v>
      </c>
      <c r="E224" s="307">
        <f t="shared" ca="1" si="96"/>
        <v>-13.715757374589396</v>
      </c>
      <c r="F224" s="304">
        <f t="shared" ca="1" si="97"/>
        <v>13.775382598110765</v>
      </c>
      <c r="G224" s="306">
        <f t="shared" ca="1" si="98"/>
        <v>11.475798254941212</v>
      </c>
      <c r="H224" s="307">
        <f t="shared" ca="1" si="99"/>
        <v>34.027764281836738</v>
      </c>
      <c r="I224" s="304">
        <f t="shared" ca="1" si="100"/>
        <v>35.910760053337157</v>
      </c>
      <c r="J224" s="306">
        <f t="shared" ca="1" si="101"/>
        <v>56.012062152765623</v>
      </c>
      <c r="K224" s="307">
        <f t="shared" ca="1" si="102"/>
        <v>246.51153652534549</v>
      </c>
      <c r="L224" s="304">
        <f t="shared" ca="1" si="87"/>
        <v>252.79495395812796</v>
      </c>
      <c r="M224" s="306">
        <f t="shared" ca="1" si="103"/>
        <v>1.2455266456651626</v>
      </c>
      <c r="N224" s="304">
        <f t="shared" ca="1" si="104"/>
        <v>71.363420067700162</v>
      </c>
      <c r="P224" s="310">
        <f t="shared" ca="1" si="105"/>
        <v>23</v>
      </c>
      <c r="Q224" s="304">
        <f t="shared" ca="1" si="106"/>
        <v>0</v>
      </c>
      <c r="R224" s="306">
        <f t="shared" ca="1" si="107"/>
        <v>0</v>
      </c>
      <c r="S224" s="307">
        <f t="shared" ca="1" si="108"/>
        <v>0.4270000000000001</v>
      </c>
      <c r="T224" s="304">
        <f t="shared" ca="1" si="88"/>
        <v>4.1888700000000014</v>
      </c>
      <c r="U224" s="311">
        <f t="shared" ca="1" si="89"/>
        <v>0</v>
      </c>
      <c r="V224" s="306">
        <f t="shared" ca="1" si="90"/>
        <v>1.1951700086260519</v>
      </c>
      <c r="W224" s="304">
        <f t="shared" ca="1" si="91"/>
        <v>1.630342583855295</v>
      </c>
      <c r="Y224" s="314" t="str">
        <f t="shared" ca="1" si="109"/>
        <v/>
      </c>
      <c r="Z224" s="315" t="str">
        <f t="shared" ca="1" si="110"/>
        <v/>
      </c>
      <c r="AA224" s="316" t="str">
        <f t="shared" ca="1" si="111"/>
        <v/>
      </c>
      <c r="AC224" s="310">
        <f t="shared" ca="1" si="112"/>
        <v>4.0000000000000027</v>
      </c>
      <c r="AD224" s="323">
        <f t="shared" ca="1" si="113"/>
        <v>56.012062152765623</v>
      </c>
      <c r="AE224" s="324">
        <f t="shared" ca="1" si="92"/>
        <v>246.51153652534549</v>
      </c>
      <c r="AG224" s="306">
        <f t="shared" ca="1" si="114"/>
        <v>-13.432191713437771</v>
      </c>
      <c r="AH224" s="304">
        <f t="shared" ca="1" si="115"/>
        <v>-4.1102440359288765</v>
      </c>
    </row>
    <row r="225" spans="1:34" x14ac:dyDescent="0.3">
      <c r="A225" s="347">
        <f t="shared" ca="1" si="93"/>
        <v>0.1</v>
      </c>
      <c r="B225" s="304">
        <f t="shared" ca="1" si="94"/>
        <v>4.1000000000000023</v>
      </c>
      <c r="D225" s="306">
        <f t="shared" ca="1" si="95"/>
        <v>-1.2201389886027671</v>
      </c>
      <c r="E225" s="307">
        <f t="shared" ca="1" si="96"/>
        <v>-13.427927134382717</v>
      </c>
      <c r="F225" s="304">
        <f t="shared" ca="1" si="97"/>
        <v>13.483247616127214</v>
      </c>
      <c r="G225" s="306">
        <f t="shared" ca="1" si="98"/>
        <v>11.353784356080936</v>
      </c>
      <c r="H225" s="307">
        <f t="shared" ca="1" si="99"/>
        <v>32.684971568398467</v>
      </c>
      <c r="I225" s="304">
        <f t="shared" ca="1" si="100"/>
        <v>34.60080614135174</v>
      </c>
      <c r="J225" s="306">
        <f t="shared" ca="1" si="101"/>
        <v>57.153541283316727</v>
      </c>
      <c r="K225" s="307">
        <f t="shared" ca="1" si="102"/>
        <v>249.84717331785725</v>
      </c>
      <c r="L225" s="304">
        <f t="shared" ca="1" si="87"/>
        <v>256.30087260122076</v>
      </c>
      <c r="M225" s="306">
        <f t="shared" ca="1" si="103"/>
        <v>1.2364662525852093</v>
      </c>
      <c r="N225" s="304">
        <f t="shared" ca="1" si="104"/>
        <v>70.84429778348931</v>
      </c>
      <c r="P225" s="310">
        <f t="shared" ca="1" si="105"/>
        <v>23</v>
      </c>
      <c r="Q225" s="304">
        <f t="shared" ca="1" si="106"/>
        <v>0</v>
      </c>
      <c r="R225" s="306">
        <f t="shared" ca="1" si="107"/>
        <v>0</v>
      </c>
      <c r="S225" s="307">
        <f t="shared" ca="1" si="108"/>
        <v>0.4270000000000001</v>
      </c>
      <c r="T225" s="304">
        <f t="shared" ca="1" si="88"/>
        <v>4.1888700000000014</v>
      </c>
      <c r="U225" s="311">
        <f t="shared" ca="1" si="89"/>
        <v>0</v>
      </c>
      <c r="V225" s="306">
        <f t="shared" ca="1" si="90"/>
        <v>1.1947713484260114</v>
      </c>
      <c r="W225" s="304">
        <f t="shared" ca="1" si="91"/>
        <v>1.5130637460481584</v>
      </c>
      <c r="Y225" s="314" t="str">
        <f t="shared" ca="1" si="109"/>
        <v/>
      </c>
      <c r="Z225" s="315" t="str">
        <f t="shared" ca="1" si="110"/>
        <v/>
      </c>
      <c r="AA225" s="316" t="str">
        <f t="shared" ca="1" si="111"/>
        <v/>
      </c>
      <c r="AC225" s="310" t="e">
        <f t="shared" ca="1" si="112"/>
        <v>#N/A</v>
      </c>
      <c r="AD225" s="323" t="e">
        <f t="shared" ca="1" si="113"/>
        <v>#N/A</v>
      </c>
      <c r="AE225" s="324">
        <f t="shared" ca="1" si="92"/>
        <v>249.84717331785725</v>
      </c>
      <c r="AG225" s="306">
        <f t="shared" ca="1" si="114"/>
        <v>-13.11374104862159</v>
      </c>
      <c r="AH225" s="304">
        <f t="shared" ca="1" si="115"/>
        <v>-3.8181325148835938</v>
      </c>
    </row>
    <row r="226" spans="1:34" x14ac:dyDescent="0.3">
      <c r="A226" s="347">
        <f t="shared" ca="1" si="93"/>
        <v>0.1</v>
      </c>
      <c r="B226" s="304">
        <f t="shared" ca="1" si="94"/>
        <v>4.200000000000002</v>
      </c>
      <c r="D226" s="306">
        <f t="shared" ca="1" si="95"/>
        <v>-1.162743109438132</v>
      </c>
      <c r="E226" s="307">
        <f t="shared" ca="1" si="96"/>
        <v>-13.157273849972501</v>
      </c>
      <c r="F226" s="304">
        <f t="shared" ca="1" si="97"/>
        <v>13.20855127187369</v>
      </c>
      <c r="G226" s="306">
        <f t="shared" ca="1" si="98"/>
        <v>11.237510045137123</v>
      </c>
      <c r="H226" s="307">
        <f t="shared" ca="1" si="99"/>
        <v>31.369244183401218</v>
      </c>
      <c r="I226" s="304">
        <f t="shared" ca="1" si="100"/>
        <v>33.321331195683179</v>
      </c>
      <c r="J226" s="306">
        <f t="shared" ca="1" si="101"/>
        <v>58.283106003377632</v>
      </c>
      <c r="K226" s="307">
        <f t="shared" ca="1" si="102"/>
        <v>253.04988410544723</v>
      </c>
      <c r="L226" s="304">
        <f t="shared" ca="1" si="87"/>
        <v>259.67511296075571</v>
      </c>
      <c r="M226" s="306">
        <f t="shared" ca="1" si="103"/>
        <v>1.2268055693192939</v>
      </c>
      <c r="N226" s="304">
        <f t="shared" ca="1" si="104"/>
        <v>70.290781405139697</v>
      </c>
      <c r="P226" s="310">
        <f t="shared" ca="1" si="105"/>
        <v>23</v>
      </c>
      <c r="Q226" s="304">
        <f t="shared" ca="1" si="106"/>
        <v>0</v>
      </c>
      <c r="R226" s="306">
        <f t="shared" ca="1" si="107"/>
        <v>0</v>
      </c>
      <c r="S226" s="307">
        <f t="shared" ca="1" si="108"/>
        <v>0.4270000000000001</v>
      </c>
      <c r="T226" s="304">
        <f t="shared" ca="1" si="88"/>
        <v>4.1888700000000014</v>
      </c>
      <c r="U226" s="311">
        <f t="shared" ca="1" si="89"/>
        <v>0</v>
      </c>
      <c r="V226" s="306">
        <f t="shared" ca="1" si="90"/>
        <v>1.1943886985117784</v>
      </c>
      <c r="W226" s="304">
        <f t="shared" ca="1" si="91"/>
        <v>1.4027825780280734</v>
      </c>
      <c r="Y226" s="314" t="str">
        <f t="shared" ca="1" si="109"/>
        <v/>
      </c>
      <c r="Z226" s="315" t="str">
        <f t="shared" ca="1" si="110"/>
        <v/>
      </c>
      <c r="AA226" s="316" t="str">
        <f t="shared" ca="1" si="111"/>
        <v/>
      </c>
      <c r="AC226" s="310" t="e">
        <f t="shared" ca="1" si="112"/>
        <v>#N/A</v>
      </c>
      <c r="AD226" s="323" t="e">
        <f t="shared" ca="1" si="113"/>
        <v>#N/A</v>
      </c>
      <c r="AE226" s="324">
        <f t="shared" ca="1" si="92"/>
        <v>253.04988410544723</v>
      </c>
      <c r="AG226" s="306">
        <f t="shared" ca="1" si="114"/>
        <v>-12.81029853522214</v>
      </c>
      <c r="AH226" s="304">
        <f t="shared" ca="1" si="115"/>
        <v>-3.5434748151010727</v>
      </c>
    </row>
    <row r="227" spans="1:34" x14ac:dyDescent="0.3">
      <c r="A227" s="347">
        <f t="shared" ca="1" si="93"/>
        <v>0.1</v>
      </c>
      <c r="B227" s="304">
        <f t="shared" ca="1" si="94"/>
        <v>4.3000000000000016</v>
      </c>
      <c r="D227" s="306">
        <f t="shared" ca="1" si="95"/>
        <v>-1.1079246835433285</v>
      </c>
      <c r="E227" s="307">
        <f t="shared" ca="1" si="96"/>
        <v>-12.902745616714961</v>
      </c>
      <c r="F227" s="304">
        <f t="shared" ca="1" si="97"/>
        <v>12.950225540663828</v>
      </c>
      <c r="G227" s="306">
        <f t="shared" ca="1" si="98"/>
        <v>11.12671757678279</v>
      </c>
      <c r="H227" s="307">
        <f t="shared" ca="1" si="99"/>
        <v>30.078969621729723</v>
      </c>
      <c r="I227" s="304">
        <f t="shared" ca="1" si="100"/>
        <v>32.070987785511484</v>
      </c>
      <c r="J227" s="306">
        <f t="shared" ca="1" si="101"/>
        <v>59.401317384473629</v>
      </c>
      <c r="K227" s="307">
        <f t="shared" ca="1" si="102"/>
        <v>256.12229479570379</v>
      </c>
      <c r="L227" s="304">
        <f t="shared" ca="1" si="87"/>
        <v>262.92041837489222</v>
      </c>
      <c r="M227" s="306">
        <f t="shared" ca="1" si="103"/>
        <v>1.2164895505492606</v>
      </c>
      <c r="N227" s="304">
        <f t="shared" ca="1" si="104"/>
        <v>69.699717068239039</v>
      </c>
      <c r="P227" s="310">
        <f t="shared" ca="1" si="105"/>
        <v>23</v>
      </c>
      <c r="Q227" s="304">
        <f t="shared" ca="1" si="106"/>
        <v>0</v>
      </c>
      <c r="R227" s="306">
        <f t="shared" ca="1" si="107"/>
        <v>0</v>
      </c>
      <c r="S227" s="307">
        <f t="shared" ca="1" si="108"/>
        <v>0.4270000000000001</v>
      </c>
      <c r="T227" s="304">
        <f t="shared" ca="1" si="88"/>
        <v>4.1888700000000014</v>
      </c>
      <c r="U227" s="311">
        <f t="shared" ca="1" si="89"/>
        <v>0</v>
      </c>
      <c r="V227" s="306">
        <f t="shared" ca="1" si="90"/>
        <v>1.1940217301654676</v>
      </c>
      <c r="W227" s="304">
        <f t="shared" ca="1" si="91"/>
        <v>1.2990829864444731</v>
      </c>
      <c r="Y227" s="314" t="str">
        <f t="shared" ca="1" si="109"/>
        <v/>
      </c>
      <c r="Z227" s="315" t="str">
        <f t="shared" ca="1" si="110"/>
        <v/>
      </c>
      <c r="AA227" s="316" t="str">
        <f t="shared" ca="1" si="111"/>
        <v/>
      </c>
      <c r="AC227" s="310" t="e">
        <f t="shared" ca="1" si="112"/>
        <v>#N/A</v>
      </c>
      <c r="AD227" s="323" t="e">
        <f t="shared" ca="1" si="113"/>
        <v>#N/A</v>
      </c>
      <c r="AE227" s="324">
        <f t="shared" ca="1" si="92"/>
        <v>256.12229479570379</v>
      </c>
      <c r="AG227" s="306">
        <f t="shared" ca="1" si="114"/>
        <v>-12.52049896198816</v>
      </c>
      <c r="AH227" s="304">
        <f t="shared" ca="1" si="115"/>
        <v>-3.2852051007683207</v>
      </c>
    </row>
    <row r="228" spans="1:34" x14ac:dyDescent="0.3">
      <c r="A228" s="347">
        <f t="shared" ca="1" si="93"/>
        <v>0.1</v>
      </c>
      <c r="B228" s="304">
        <f t="shared" ca="1" si="94"/>
        <v>4.4000000000000012</v>
      </c>
      <c r="D228" s="306">
        <f t="shared" ca="1" si="95"/>
        <v>-1.0555133931902341</v>
      </c>
      <c r="E228" s="307">
        <f t="shared" ca="1" si="96"/>
        <v>-12.663380169848603</v>
      </c>
      <c r="F228" s="304">
        <f t="shared" ca="1" si="97"/>
        <v>12.7072934116325</v>
      </c>
      <c r="G228" s="306">
        <f t="shared" ca="1" si="98"/>
        <v>11.021166237463767</v>
      </c>
      <c r="H228" s="307">
        <f t="shared" ca="1" si="99"/>
        <v>28.812631604744862</v>
      </c>
      <c r="I228" s="304">
        <f t="shared" ca="1" si="100"/>
        <v>30.848563098215024</v>
      </c>
      <c r="J228" s="306">
        <f t="shared" ca="1" si="101"/>
        <v>60.508711575185956</v>
      </c>
      <c r="K228" s="307">
        <f t="shared" ca="1" si="102"/>
        <v>259.06687485702753</v>
      </c>
      <c r="L228" s="304">
        <f t="shared" ca="1" si="87"/>
        <v>266.03937645520784</v>
      </c>
      <c r="M228" s="306">
        <f t="shared" ca="1" si="103"/>
        <v>1.2054564492131628</v>
      </c>
      <c r="N228" s="304">
        <f t="shared" ca="1" si="104"/>
        <v>69.067566926740497</v>
      </c>
      <c r="P228" s="310">
        <f t="shared" ca="1" si="105"/>
        <v>23</v>
      </c>
      <c r="Q228" s="304">
        <f t="shared" ca="1" si="106"/>
        <v>0</v>
      </c>
      <c r="R228" s="306">
        <f t="shared" ca="1" si="107"/>
        <v>0</v>
      </c>
      <c r="S228" s="307">
        <f t="shared" ca="1" si="108"/>
        <v>0.4270000000000001</v>
      </c>
      <c r="T228" s="304">
        <f t="shared" ca="1" si="88"/>
        <v>4.1888700000000014</v>
      </c>
      <c r="U228" s="311">
        <f t="shared" ca="1" si="89"/>
        <v>0</v>
      </c>
      <c r="V228" s="306">
        <f t="shared" ca="1" si="90"/>
        <v>1.1936701343492062</v>
      </c>
      <c r="W228" s="304">
        <f t="shared" ca="1" si="91"/>
        <v>1.2015841723552223</v>
      </c>
      <c r="Y228" s="314" t="str">
        <f t="shared" ca="1" si="109"/>
        <v/>
      </c>
      <c r="Z228" s="315" t="str">
        <f t="shared" ca="1" si="110"/>
        <v/>
      </c>
      <c r="AA228" s="316" t="str">
        <f t="shared" ca="1" si="111"/>
        <v/>
      </c>
      <c r="AC228" s="310" t="e">
        <f t="shared" ca="1" si="112"/>
        <v>#N/A</v>
      </c>
      <c r="AD228" s="323" t="e">
        <f t="shared" ca="1" si="113"/>
        <v>#N/A</v>
      </c>
      <c r="AE228" s="324">
        <f t="shared" ca="1" si="92"/>
        <v>259.06687485702753</v>
      </c>
      <c r="AG228" s="306">
        <f t="shared" ca="1" si="114"/>
        <v>-12.243022556330908</v>
      </c>
      <c r="AH228" s="304">
        <f t="shared" ca="1" si="115"/>
        <v>-3.0423489143898661</v>
      </c>
    </row>
    <row r="229" spans="1:34" x14ac:dyDescent="0.3">
      <c r="A229" s="347">
        <f t="shared" ca="1" si="93"/>
        <v>0.1</v>
      </c>
      <c r="B229" s="304">
        <f t="shared" ca="1" si="94"/>
        <v>4.5000000000000009</v>
      </c>
      <c r="D229" s="306">
        <f t="shared" ca="1" si="95"/>
        <v>-1.0053538314330115</v>
      </c>
      <c r="E229" s="307">
        <f t="shared" ca="1" si="96"/>
        <v>-12.438296221413687</v>
      </c>
      <c r="F229" s="304">
        <f t="shared" ca="1" si="97"/>
        <v>12.478860092893543</v>
      </c>
      <c r="G229" s="306">
        <f t="shared" ca="1" si="98"/>
        <v>10.920630854320466</v>
      </c>
      <c r="H229" s="307">
        <f t="shared" ca="1" si="99"/>
        <v>27.568801982603492</v>
      </c>
      <c r="I229" s="304">
        <f t="shared" ca="1" si="100"/>
        <v>29.652976596158748</v>
      </c>
      <c r="J229" s="306">
        <f t="shared" ca="1" si="101"/>
        <v>61.60580142977517</v>
      </c>
      <c r="K229" s="307">
        <f t="shared" ca="1" si="102"/>
        <v>261.88594653639495</v>
      </c>
      <c r="L229" s="304">
        <f t="shared" ca="1" si="87"/>
        <v>269.03442858316185</v>
      </c>
      <c r="M229" s="306">
        <f t="shared" ca="1" si="103"/>
        <v>1.1936368312866323</v>
      </c>
      <c r="N229" s="304">
        <f t="shared" ca="1" si="104"/>
        <v>68.390352704093132</v>
      </c>
      <c r="P229" s="310">
        <f t="shared" ca="1" si="105"/>
        <v>23</v>
      </c>
      <c r="Q229" s="304">
        <f t="shared" ca="1" si="106"/>
        <v>0</v>
      </c>
      <c r="R229" s="306">
        <f t="shared" ca="1" si="107"/>
        <v>0</v>
      </c>
      <c r="S229" s="307">
        <f t="shared" ca="1" si="108"/>
        <v>0.4270000000000001</v>
      </c>
      <c r="T229" s="304">
        <f t="shared" ca="1" si="88"/>
        <v>4.1888700000000014</v>
      </c>
      <c r="U229" s="311">
        <f t="shared" ca="1" si="89"/>
        <v>0</v>
      </c>
      <c r="V229" s="306">
        <f t="shared" ca="1" si="90"/>
        <v>1.1933336205372409</v>
      </c>
      <c r="W229" s="304">
        <f t="shared" ca="1" si="91"/>
        <v>1.1099373290025494</v>
      </c>
      <c r="Y229" s="314" t="str">
        <f t="shared" ca="1" si="109"/>
        <v/>
      </c>
      <c r="Z229" s="315" t="str">
        <f t="shared" ca="1" si="110"/>
        <v/>
      </c>
      <c r="AA229" s="316" t="str">
        <f t="shared" ca="1" si="111"/>
        <v/>
      </c>
      <c r="AC229" s="310" t="e">
        <f t="shared" ca="1" si="112"/>
        <v>#N/A</v>
      </c>
      <c r="AD229" s="323" t="e">
        <f t="shared" ca="1" si="113"/>
        <v>#N/A</v>
      </c>
      <c r="AE229" s="324">
        <f t="shared" ca="1" si="92"/>
        <v>261.88594653639495</v>
      </c>
      <c r="AG229" s="306">
        <f t="shared" ca="1" si="114"/>
        <v>-11.976577882921063</v>
      </c>
      <c r="AH229" s="304">
        <f t="shared" ca="1" si="115"/>
        <v>-2.8140144551644544</v>
      </c>
    </row>
    <row r="230" spans="1:34" x14ac:dyDescent="0.3">
      <c r="A230" s="347">
        <f t="shared" ca="1" si="93"/>
        <v>0.1</v>
      </c>
      <c r="B230" s="304">
        <f t="shared" ca="1" si="94"/>
        <v>4.6000000000000005</v>
      </c>
      <c r="D230" s="306">
        <f t="shared" ca="1" si="95"/>
        <v>-0.95730431153525009</v>
      </c>
      <c r="E230" s="307">
        <f t="shared" ca="1" si="96"/>
        <v>-12.226685753219712</v>
      </c>
      <c r="F230" s="304">
        <f t="shared" ca="1" si="97"/>
        <v>12.264105187614376</v>
      </c>
      <c r="G230" s="306">
        <f t="shared" ca="1" si="98"/>
        <v>10.824900423166941</v>
      </c>
      <c r="H230" s="307">
        <f t="shared" ca="1" si="99"/>
        <v>26.346133407281521</v>
      </c>
      <c r="I230" s="304">
        <f t="shared" ca="1" si="100"/>
        <v>28.483279563381657</v>
      </c>
      <c r="J230" s="306">
        <f t="shared" ca="1" si="101"/>
        <v>62.693077993649538</v>
      </c>
      <c r="K230" s="307">
        <f t="shared" ca="1" si="102"/>
        <v>264.58169330588919</v>
      </c>
      <c r="L230" s="304">
        <f t="shared" ca="1" si="87"/>
        <v>271.90787862974742</v>
      </c>
      <c r="M230" s="306">
        <f t="shared" ca="1" si="103"/>
        <v>1.1809524264921079</v>
      </c>
      <c r="N230" s="304">
        <f t="shared" ca="1" si="104"/>
        <v>67.663589843731373</v>
      </c>
      <c r="P230" s="310">
        <f t="shared" ca="1" si="105"/>
        <v>23</v>
      </c>
      <c r="Q230" s="304">
        <f t="shared" ca="1" si="106"/>
        <v>0</v>
      </c>
      <c r="R230" s="306">
        <f t="shared" ca="1" si="107"/>
        <v>0</v>
      </c>
      <c r="S230" s="307">
        <f t="shared" ca="1" si="108"/>
        <v>0.4270000000000001</v>
      </c>
      <c r="T230" s="304">
        <f t="shared" ca="1" si="88"/>
        <v>4.1888700000000014</v>
      </c>
      <c r="U230" s="311">
        <f t="shared" ca="1" si="89"/>
        <v>0</v>
      </c>
      <c r="V230" s="306">
        <f t="shared" ca="1" si="90"/>
        <v>1.1930119156462256</v>
      </c>
      <c r="W230" s="304">
        <f t="shared" ca="1" si="91"/>
        <v>1.0238227083199407</v>
      </c>
      <c r="Y230" s="314" t="str">
        <f t="shared" ca="1" si="109"/>
        <v/>
      </c>
      <c r="Z230" s="315" t="str">
        <f t="shared" ca="1" si="110"/>
        <v/>
      </c>
      <c r="AA230" s="316" t="str">
        <f t="shared" ca="1" si="111"/>
        <v/>
      </c>
      <c r="AC230" s="310" t="e">
        <f t="shared" ca="1" si="112"/>
        <v>#N/A</v>
      </c>
      <c r="AD230" s="323" t="e">
        <f t="shared" ca="1" si="113"/>
        <v>#N/A</v>
      </c>
      <c r="AE230" s="324">
        <f t="shared" ca="1" si="92"/>
        <v>264.58169330588919</v>
      </c>
      <c r="AG230" s="306">
        <f t="shared" ca="1" si="114"/>
        <v>-11.71988398225689</v>
      </c>
      <c r="AH230" s="304">
        <f t="shared" ca="1" si="115"/>
        <v>-2.599384845439225</v>
      </c>
    </row>
    <row r="231" spans="1:34" x14ac:dyDescent="0.3">
      <c r="A231" s="347">
        <f t="shared" ca="1" si="93"/>
        <v>0.1</v>
      </c>
      <c r="B231" s="304">
        <f t="shared" ca="1" si="94"/>
        <v>4.7</v>
      </c>
      <c r="D231" s="306">
        <f t="shared" ca="1" si="95"/>
        <v>-0.91123585621010783</v>
      </c>
      <c r="E231" s="307">
        <f t="shared" ca="1" si="96"/>
        <v>-12.027807138607031</v>
      </c>
      <c r="F231" s="304">
        <f t="shared" ca="1" si="97"/>
        <v>12.062275711870013</v>
      </c>
      <c r="G231" s="306">
        <f t="shared" ca="1" si="98"/>
        <v>10.73377683754593</v>
      </c>
      <c r="H231" s="307">
        <f t="shared" ca="1" si="99"/>
        <v>25.143352693420816</v>
      </c>
      <c r="I231" s="304">
        <f t="shared" ca="1" si="100"/>
        <v>27.338656694577903</v>
      </c>
      <c r="J231" s="306">
        <f t="shared" ca="1" si="101"/>
        <v>63.771011856685185</v>
      </c>
      <c r="K231" s="307">
        <f t="shared" ca="1" si="102"/>
        <v>267.15616761092429</v>
      </c>
      <c r="L231" s="304">
        <f t="shared" ca="1" si="87"/>
        <v>274.6619009724169</v>
      </c>
      <c r="M231" s="306">
        <f t="shared" ca="1" si="103"/>
        <v>1.1673147866889797</v>
      </c>
      <c r="N231" s="304">
        <f t="shared" ca="1" si="104"/>
        <v>66.882210640492502</v>
      </c>
      <c r="P231" s="310">
        <f t="shared" ca="1" si="105"/>
        <v>23</v>
      </c>
      <c r="Q231" s="304">
        <f t="shared" ca="1" si="106"/>
        <v>0</v>
      </c>
      <c r="R231" s="306">
        <f t="shared" ca="1" si="107"/>
        <v>0</v>
      </c>
      <c r="S231" s="307">
        <f t="shared" ca="1" si="108"/>
        <v>0.4270000000000001</v>
      </c>
      <c r="T231" s="304">
        <f t="shared" ca="1" si="88"/>
        <v>4.1888700000000014</v>
      </c>
      <c r="U231" s="311">
        <f t="shared" ca="1" si="89"/>
        <v>0</v>
      </c>
      <c r="V231" s="306">
        <f t="shared" ca="1" si="90"/>
        <v>1.1927047630543859</v>
      </c>
      <c r="W231" s="304">
        <f t="shared" ca="1" si="91"/>
        <v>0.94294701044753471</v>
      </c>
      <c r="Y231" s="314" t="str">
        <f t="shared" ca="1" si="109"/>
        <v/>
      </c>
      <c r="Z231" s="315" t="str">
        <f t="shared" ca="1" si="110"/>
        <v/>
      </c>
      <c r="AA231" s="316" t="str">
        <f t="shared" ca="1" si="111"/>
        <v/>
      </c>
      <c r="AC231" s="310" t="e">
        <f t="shared" ca="1" si="112"/>
        <v>#N/A</v>
      </c>
      <c r="AD231" s="323" t="e">
        <f t="shared" ca="1" si="113"/>
        <v>#N/A</v>
      </c>
      <c r="AE231" s="324">
        <f t="shared" ca="1" si="92"/>
        <v>267.15616761092429</v>
      </c>
      <c r="AG231" s="306">
        <f t="shared" ca="1" si="114"/>
        <v>-11.471651224333042</v>
      </c>
      <c r="AH231" s="304">
        <f t="shared" ca="1" si="115"/>
        <v>-2.3977112607024367</v>
      </c>
    </row>
    <row r="232" spans="1:34" x14ac:dyDescent="0.3">
      <c r="A232" s="347">
        <f t="shared" ca="1" si="93"/>
        <v>0.1</v>
      </c>
      <c r="B232" s="304">
        <f t="shared" ca="1" si="94"/>
        <v>4.8</v>
      </c>
      <c r="D232" s="306">
        <f t="shared" ca="1" si="95"/>
        <v>-0.86703135479466431</v>
      </c>
      <c r="E232" s="307">
        <f t="shared" ca="1" si="96"/>
        <v>-11.840978981564227</v>
      </c>
      <c r="F232" s="304">
        <f t="shared" ca="1" si="97"/>
        <v>11.872679841217098</v>
      </c>
      <c r="G232" s="306">
        <f t="shared" ca="1" si="98"/>
        <v>10.647073702066464</v>
      </c>
      <c r="H232" s="307">
        <f t="shared" ca="1" si="99"/>
        <v>23.959254795264393</v>
      </c>
      <c r="I232" s="304">
        <f t="shared" ca="1" si="100"/>
        <v>26.218429944633129</v>
      </c>
      <c r="J232" s="306">
        <f t="shared" ca="1" si="101"/>
        <v>64.840054383665802</v>
      </c>
      <c r="K232" s="307">
        <f t="shared" ca="1" si="102"/>
        <v>269.61129798535853</v>
      </c>
      <c r="L232" s="304">
        <f t="shared" ca="1" si="87"/>
        <v>277.29854787543792</v>
      </c>
      <c r="M232" s="306">
        <f t="shared" ca="1" si="103"/>
        <v>1.1526237197015863</v>
      </c>
      <c r="N232" s="304">
        <f t="shared" ca="1" si="104"/>
        <v>66.040474505570884</v>
      </c>
      <c r="P232" s="310">
        <f t="shared" ca="1" si="105"/>
        <v>23</v>
      </c>
      <c r="Q232" s="304">
        <f t="shared" ca="1" si="106"/>
        <v>0</v>
      </c>
      <c r="R232" s="306">
        <f t="shared" ca="1" si="107"/>
        <v>0</v>
      </c>
      <c r="S232" s="307">
        <f t="shared" ca="1" si="108"/>
        <v>0.4270000000000001</v>
      </c>
      <c r="T232" s="304">
        <f t="shared" ca="1" si="88"/>
        <v>4.1888700000000014</v>
      </c>
      <c r="U232" s="311">
        <f t="shared" ca="1" si="89"/>
        <v>0</v>
      </c>
      <c r="V232" s="306">
        <f t="shared" ca="1" si="90"/>
        <v>1.1924119217012428</v>
      </c>
      <c r="W232" s="304">
        <f t="shared" ca="1" si="91"/>
        <v>0.86704105683590527</v>
      </c>
      <c r="Y232" s="314" t="str">
        <f t="shared" ca="1" si="109"/>
        <v/>
      </c>
      <c r="Z232" s="315" t="str">
        <f t="shared" ca="1" si="110"/>
        <v/>
      </c>
      <c r="AA232" s="316" t="str">
        <f t="shared" ca="1" si="111"/>
        <v/>
      </c>
      <c r="AC232" s="310" t="e">
        <f t="shared" ca="1" si="112"/>
        <v>#N/A</v>
      </c>
      <c r="AD232" s="323" t="e">
        <f t="shared" ca="1" si="113"/>
        <v>#N/A</v>
      </c>
      <c r="AE232" s="324">
        <f t="shared" ca="1" si="92"/>
        <v>269.61129798535853</v>
      </c>
      <c r="AG232" s="306">
        <f t="shared" ca="1" si="114"/>
        <v>-11.230560274867727</v>
      </c>
      <c r="AH232" s="304">
        <f t="shared" ca="1" si="115"/>
        <v>-2.2083068160363806</v>
      </c>
    </row>
    <row r="233" spans="1:34" x14ac:dyDescent="0.3">
      <c r="A233" s="347">
        <f t="shared" ca="1" si="93"/>
        <v>0.1</v>
      </c>
      <c r="B233" s="304">
        <f t="shared" ca="1" si="94"/>
        <v>4.8999999999999995</v>
      </c>
      <c r="D233" s="306">
        <f t="shared" ca="1" si="95"/>
        <v>-0.8245848805729683</v>
      </c>
      <c r="E233" s="307">
        <f t="shared" ca="1" si="96"/>
        <v>-11.665574574461331</v>
      </c>
      <c r="F233" s="304">
        <f t="shared" ca="1" si="97"/>
        <v>11.694681285849059</v>
      </c>
      <c r="G233" s="306">
        <f t="shared" ca="1" si="98"/>
        <v>10.564615214009168</v>
      </c>
      <c r="H233" s="307">
        <f t="shared" ca="1" si="99"/>
        <v>22.792697337818261</v>
      </c>
      <c r="I233" s="304">
        <f t="shared" ca="1" si="100"/>
        <v>25.122064934106465</v>
      </c>
      <c r="J233" s="306">
        <f t="shared" ca="1" si="101"/>
        <v>65.900638829469585</v>
      </c>
      <c r="K233" s="307">
        <f t="shared" ca="1" si="102"/>
        <v>271.94889559201266</v>
      </c>
      <c r="L233" s="304">
        <f t="shared" ca="1" si="87"/>
        <v>279.819756292953</v>
      </c>
      <c r="M233" s="306">
        <f t="shared" ca="1" si="103"/>
        <v>1.1367654625418522</v>
      </c>
      <c r="N233" s="304">
        <f t="shared" ca="1" si="104"/>
        <v>65.131863299884998</v>
      </c>
      <c r="P233" s="310">
        <f t="shared" ca="1" si="105"/>
        <v>23</v>
      </c>
      <c r="Q233" s="304">
        <f t="shared" ca="1" si="106"/>
        <v>0</v>
      </c>
      <c r="R233" s="306">
        <f t="shared" ca="1" si="107"/>
        <v>0</v>
      </c>
      <c r="S233" s="307">
        <f t="shared" ca="1" si="108"/>
        <v>0.4270000000000001</v>
      </c>
      <c r="T233" s="304">
        <f t="shared" ca="1" si="88"/>
        <v>4.1888700000000014</v>
      </c>
      <c r="U233" s="311">
        <f t="shared" ca="1" si="89"/>
        <v>0</v>
      </c>
      <c r="V233" s="306">
        <f t="shared" ca="1" si="90"/>
        <v>1.1921331652604301</v>
      </c>
      <c r="W233" s="304">
        <f t="shared" ca="1" si="91"/>
        <v>0.7958577128571741</v>
      </c>
      <c r="Y233" s="314" t="str">
        <f t="shared" ca="1" si="109"/>
        <v/>
      </c>
      <c r="Z233" s="315" t="str">
        <f t="shared" ca="1" si="110"/>
        <v/>
      </c>
      <c r="AA233" s="316" t="str">
        <f t="shared" ca="1" si="111"/>
        <v/>
      </c>
      <c r="AC233" s="310" t="e">
        <f t="shared" ca="1" si="112"/>
        <v>#N/A</v>
      </c>
      <c r="AD233" s="323" t="e">
        <f t="shared" ca="1" si="113"/>
        <v>#N/A</v>
      </c>
      <c r="AE233" s="324">
        <f t="shared" ca="1" si="92"/>
        <v>271.94889559201266</v>
      </c>
      <c r="AG233" s="306">
        <f t="shared" ca="1" si="114"/>
        <v>-10.995238470362988</v>
      </c>
      <c r="AH233" s="304">
        <f t="shared" ca="1" si="115"/>
        <v>-2.0305411167117215</v>
      </c>
    </row>
    <row r="234" spans="1:34" x14ac:dyDescent="0.3">
      <c r="A234" s="347">
        <f t="shared" ca="1" si="93"/>
        <v>0.1</v>
      </c>
      <c r="B234" s="304">
        <f t="shared" ca="1" si="94"/>
        <v>4.9999999999999991</v>
      </c>
      <c r="D234" s="306">
        <f t="shared" ca="1" si="95"/>
        <v>-0.78380116451758242</v>
      </c>
      <c r="E234" s="307">
        <f t="shared" ca="1" si="96"/>
        <v>-11.501016885516949</v>
      </c>
      <c r="F234" s="304">
        <f t="shared" ca="1" si="97"/>
        <v>11.527694204238985</v>
      </c>
      <c r="G234" s="306">
        <f t="shared" ca="1" si="98"/>
        <v>10.48623509755741</v>
      </c>
      <c r="H234" s="307">
        <f t="shared" ca="1" si="99"/>
        <v>21.642595649266568</v>
      </c>
      <c r="I234" s="304">
        <f t="shared" ca="1" si="100"/>
        <v>24.049180297026695</v>
      </c>
      <c r="J234" s="306">
        <f t="shared" ca="1" si="101"/>
        <v>66.953181345047909</v>
      </c>
      <c r="K234" s="307">
        <f t="shared" ca="1" si="102"/>
        <v>274.17066024136687</v>
      </c>
      <c r="L234" s="304">
        <f t="shared" ca="1" si="87"/>
        <v>282.22735414805186</v>
      </c>
      <c r="M234" s="306">
        <f t="shared" ca="1" si="103"/>
        <v>1.1196105550397519</v>
      </c>
      <c r="N234" s="304">
        <f t="shared" ca="1" si="104"/>
        <v>64.148959502077346</v>
      </c>
      <c r="P234" s="310">
        <f t="shared" ca="1" si="105"/>
        <v>23</v>
      </c>
      <c r="Q234" s="304">
        <f t="shared" ca="1" si="106"/>
        <v>0</v>
      </c>
      <c r="R234" s="306">
        <f t="shared" ca="1" si="107"/>
        <v>0</v>
      </c>
      <c r="S234" s="307">
        <f t="shared" ca="1" si="108"/>
        <v>0.4270000000000001</v>
      </c>
      <c r="T234" s="304">
        <f t="shared" ca="1" si="88"/>
        <v>4.1888700000000014</v>
      </c>
      <c r="U234" s="311">
        <f t="shared" ca="1" si="89"/>
        <v>0</v>
      </c>
      <c r="V234" s="306">
        <f t="shared" ca="1" si="90"/>
        <v>1.1918682813788968</v>
      </c>
      <c r="W234" s="304">
        <f t="shared" ca="1" si="91"/>
        <v>0.729170030373268</v>
      </c>
      <c r="Y234" s="314" t="str">
        <f t="shared" ca="1" si="109"/>
        <v/>
      </c>
      <c r="Z234" s="315" t="str">
        <f t="shared" ca="1" si="110"/>
        <v/>
      </c>
      <c r="AA234" s="316" t="str">
        <f t="shared" ca="1" si="111"/>
        <v/>
      </c>
      <c r="AC234" s="310">
        <f t="shared" ca="1" si="112"/>
        <v>4.9999999999999991</v>
      </c>
      <c r="AD234" s="323">
        <f t="shared" ca="1" si="113"/>
        <v>66.953181345047909</v>
      </c>
      <c r="AE234" s="324">
        <f t="shared" ca="1" si="92"/>
        <v>274.17066024136687</v>
      </c>
      <c r="AG234" s="306">
        <f t="shared" ca="1" si="114"/>
        <v>-10.764232771686522</v>
      </c>
      <c r="AH234" s="304">
        <f t="shared" ca="1" si="115"/>
        <v>-1.8638353931081357</v>
      </c>
    </row>
    <row r="235" spans="1:34" x14ac:dyDescent="0.3">
      <c r="A235" s="347">
        <f t="shared" ca="1" si="93"/>
        <v>0.1</v>
      </c>
      <c r="B235" s="304">
        <f t="shared" ca="1" si="94"/>
        <v>5.0999999999999988</v>
      </c>
      <c r="D235" s="306">
        <f t="shared" ca="1" si="95"/>
        <v>-0.74459522586358806</v>
      </c>
      <c r="E235" s="307">
        <f t="shared" ca="1" si="96"/>
        <v>-11.346773994271182</v>
      </c>
      <c r="F235" s="304">
        <f t="shared" ca="1" si="97"/>
        <v>11.371178572489645</v>
      </c>
      <c r="G235" s="306">
        <f t="shared" ca="1" si="98"/>
        <v>10.411775574971051</v>
      </c>
      <c r="H235" s="307">
        <f t="shared" ca="1" si="99"/>
        <v>20.507918249839449</v>
      </c>
      <c r="I235" s="304">
        <f t="shared" ca="1" si="100"/>
        <v>22.99956046461892</v>
      </c>
      <c r="J235" s="306">
        <f t="shared" ca="1" si="101"/>
        <v>67.998081878674327</v>
      </c>
      <c r="K235" s="307">
        <f t="shared" ca="1" si="102"/>
        <v>276.27818593632219</v>
      </c>
      <c r="L235" s="304">
        <f t="shared" ca="1" si="87"/>
        <v>284.52306613602332</v>
      </c>
      <c r="M235" s="306">
        <f t="shared" ca="1" si="103"/>
        <v>1.1010113739747001</v>
      </c>
      <c r="N235" s="304">
        <f t="shared" ca="1" si="104"/>
        <v>63.083304924650243</v>
      </c>
      <c r="P235" s="310">
        <f t="shared" ca="1" si="105"/>
        <v>23</v>
      </c>
      <c r="Q235" s="304">
        <f t="shared" ca="1" si="106"/>
        <v>0</v>
      </c>
      <c r="R235" s="306">
        <f t="shared" ca="1" si="107"/>
        <v>0</v>
      </c>
      <c r="S235" s="307">
        <f t="shared" ca="1" si="108"/>
        <v>0.4270000000000001</v>
      </c>
      <c r="T235" s="304">
        <f t="shared" ca="1" si="88"/>
        <v>4.1888700000000014</v>
      </c>
      <c r="U235" s="311">
        <f t="shared" ca="1" si="89"/>
        <v>0</v>
      </c>
      <c r="V235" s="306">
        <f t="shared" ca="1" si="90"/>
        <v>1.1916170709763947</v>
      </c>
      <c r="W235" s="304">
        <f t="shared" ca="1" si="91"/>
        <v>0.66676958456020119</v>
      </c>
      <c r="Y235" s="314" t="str">
        <f t="shared" ca="1" si="109"/>
        <v/>
      </c>
      <c r="Z235" s="315" t="str">
        <f t="shared" ca="1" si="110"/>
        <v/>
      </c>
      <c r="AA235" s="316" t="str">
        <f t="shared" ca="1" si="111"/>
        <v/>
      </c>
      <c r="AC235" s="310" t="e">
        <f t="shared" ca="1" si="112"/>
        <v>#N/A</v>
      </c>
      <c r="AD235" s="323" t="e">
        <f t="shared" ca="1" si="113"/>
        <v>#N/A</v>
      </c>
      <c r="AE235" s="324">
        <f t="shared" ca="1" si="92"/>
        <v>276.27818593632219</v>
      </c>
      <c r="AG235" s="306">
        <f t="shared" ca="1" si="114"/>
        <v>-10.535978313733862</v>
      </c>
      <c r="AH235" s="304">
        <f t="shared" ca="1" si="115"/>
        <v>-1.7076581507570674</v>
      </c>
    </row>
    <row r="236" spans="1:34" x14ac:dyDescent="0.3">
      <c r="A236" s="347">
        <f t="shared" ca="1" si="93"/>
        <v>0.1</v>
      </c>
      <c r="B236" s="304">
        <f t="shared" ca="1" si="94"/>
        <v>5.1999999999999984</v>
      </c>
      <c r="D236" s="306">
        <f t="shared" ca="1" si="95"/>
        <v>-0.70689216427200618</v>
      </c>
      <c r="E236" s="307">
        <f t="shared" ca="1" si="96"/>
        <v>-11.202354897774743</v>
      </c>
      <c r="F236" s="304">
        <f t="shared" ca="1" si="97"/>
        <v>11.22463593118311</v>
      </c>
      <c r="G236" s="306">
        <f t="shared" ca="1" si="98"/>
        <v>10.341086358543849</v>
      </c>
      <c r="H236" s="307">
        <f t="shared" ca="1" si="99"/>
        <v>19.387682760061974</v>
      </c>
      <c r="I236" s="304">
        <f t="shared" ca="1" si="100"/>
        <v>21.973172503752522</v>
      </c>
      <c r="J236" s="306">
        <f t="shared" ca="1" si="101"/>
        <v>69.035724975350078</v>
      </c>
      <c r="K236" s="307">
        <f t="shared" ca="1" si="102"/>
        <v>278.27296598681727</v>
      </c>
      <c r="L236" s="304">
        <f t="shared" ca="1" si="87"/>
        <v>286.70851909556603</v>
      </c>
      <c r="M236" s="306">
        <f t="shared" ca="1" si="103"/>
        <v>1.0807992908942627</v>
      </c>
      <c r="N236" s="304">
        <f t="shared" ca="1" si="104"/>
        <v>61.925237868973404</v>
      </c>
      <c r="P236" s="310">
        <f t="shared" ca="1" si="105"/>
        <v>23</v>
      </c>
      <c r="Q236" s="304">
        <f t="shared" ca="1" si="106"/>
        <v>0</v>
      </c>
      <c r="R236" s="306">
        <f t="shared" ca="1" si="107"/>
        <v>0</v>
      </c>
      <c r="S236" s="307">
        <f t="shared" ca="1" si="108"/>
        <v>0.4270000000000001</v>
      </c>
      <c r="T236" s="304">
        <f t="shared" ca="1" si="88"/>
        <v>4.1888700000000014</v>
      </c>
      <c r="U236" s="311">
        <f t="shared" ca="1" si="89"/>
        <v>0</v>
      </c>
      <c r="V236" s="306">
        <f t="shared" ca="1" si="90"/>
        <v>1.1913793475997072</v>
      </c>
      <c r="W236" s="304">
        <f t="shared" ca="1" si="91"/>
        <v>0.6084649825575793</v>
      </c>
      <c r="Y236" s="314" t="str">
        <f t="shared" ca="1" si="109"/>
        <v/>
      </c>
      <c r="Z236" s="315" t="str">
        <f t="shared" ca="1" si="110"/>
        <v/>
      </c>
      <c r="AA236" s="316" t="str">
        <f t="shared" ca="1" si="111"/>
        <v/>
      </c>
      <c r="AC236" s="310" t="e">
        <f t="shared" ca="1" si="112"/>
        <v>#N/A</v>
      </c>
      <c r="AD236" s="323" t="e">
        <f t="shared" ca="1" si="113"/>
        <v>#N/A</v>
      </c>
      <c r="AE236" s="324">
        <f t="shared" ca="1" si="92"/>
        <v>278.27296598681727</v>
      </c>
      <c r="AG236" s="306">
        <f t="shared" ca="1" si="114"/>
        <v>-10.308761394988128</v>
      </c>
      <c r="AH236" s="304">
        <f t="shared" ca="1" si="115"/>
        <v>-1.5615212753166301</v>
      </c>
    </row>
    <row r="237" spans="1:34" x14ac:dyDescent="0.3">
      <c r="A237" s="347">
        <f t="shared" ca="1" si="93"/>
        <v>0.1</v>
      </c>
      <c r="B237" s="304">
        <f t="shared" ca="1" si="94"/>
        <v>5.299999999999998</v>
      </c>
      <c r="D237" s="306">
        <f t="shared" ca="1" si="95"/>
        <v>-0.67062712296003135</v>
      </c>
      <c r="E237" s="307">
        <f t="shared" ca="1" si="96"/>
        <v>-11.067305611755184</v>
      </c>
      <c r="F237" s="304">
        <f t="shared" ca="1" si="97"/>
        <v>11.08760543318698</v>
      </c>
      <c r="G237" s="306">
        <f t="shared" ca="1" si="98"/>
        <v>10.274023646247846</v>
      </c>
      <c r="H237" s="307">
        <f t="shared" ca="1" si="99"/>
        <v>18.280952198886457</v>
      </c>
      <c r="I237" s="304">
        <f t="shared" ca="1" si="100"/>
        <v>20.970187771730405</v>
      </c>
      <c r="J237" s="306">
        <f t="shared" ca="1" si="101"/>
        <v>70.066480475589657</v>
      </c>
      <c r="K237" s="307">
        <f t="shared" ca="1" si="102"/>
        <v>280.15639773476471</v>
      </c>
      <c r="L237" s="304">
        <f t="shared" ca="1" si="87"/>
        <v>288.78524698806183</v>
      </c>
      <c r="M237" s="306">
        <f t="shared" ca="1" si="103"/>
        <v>1.0587814272200953</v>
      </c>
      <c r="N237" s="304">
        <f t="shared" ca="1" si="104"/>
        <v>60.663707206549198</v>
      </c>
      <c r="P237" s="310">
        <f t="shared" ca="1" si="105"/>
        <v>23</v>
      </c>
      <c r="Q237" s="304">
        <f t="shared" ca="1" si="106"/>
        <v>0</v>
      </c>
      <c r="R237" s="306">
        <f t="shared" ca="1" si="107"/>
        <v>0</v>
      </c>
      <c r="S237" s="307">
        <f t="shared" ca="1" si="108"/>
        <v>0.4270000000000001</v>
      </c>
      <c r="T237" s="304">
        <f t="shared" ca="1" si="88"/>
        <v>4.1888700000000014</v>
      </c>
      <c r="U237" s="311">
        <f t="shared" ca="1" si="89"/>
        <v>0</v>
      </c>
      <c r="V237" s="306">
        <f t="shared" ca="1" si="90"/>
        <v>1.1911549368264813</v>
      </c>
      <c r="W237" s="304">
        <f t="shared" ca="1" si="91"/>
        <v>0.55408052428712062</v>
      </c>
      <c r="Y237" s="314" t="str">
        <f t="shared" ca="1" si="109"/>
        <v/>
      </c>
      <c r="Z237" s="315" t="str">
        <f t="shared" ca="1" si="110"/>
        <v/>
      </c>
      <c r="AA237" s="316" t="str">
        <f t="shared" ca="1" si="111"/>
        <v/>
      </c>
      <c r="AC237" s="310" t="e">
        <f t="shared" ca="1" si="112"/>
        <v>#N/A</v>
      </c>
      <c r="AD237" s="323" t="e">
        <f t="shared" ca="1" si="113"/>
        <v>#N/A</v>
      </c>
      <c r="AE237" s="324">
        <f t="shared" ca="1" si="92"/>
        <v>280.15639773476471</v>
      </c>
      <c r="AG237" s="306">
        <f t="shared" ca="1" si="114"/>
        <v>-10.080675567647168</v>
      </c>
      <c r="AH237" s="304">
        <f t="shared" ca="1" si="115"/>
        <v>-1.4249765399474921</v>
      </c>
    </row>
    <row r="238" spans="1:34" x14ac:dyDescent="0.3">
      <c r="A238" s="347">
        <f t="shared" ca="1" si="93"/>
        <v>0.1</v>
      </c>
      <c r="B238" s="304">
        <f t="shared" ca="1" si="94"/>
        <v>5.3999999999999977</v>
      </c>
      <c r="D238" s="306">
        <f t="shared" ca="1" si="95"/>
        <v>-0.63574543708782039</v>
      </c>
      <c r="E238" s="307">
        <f t="shared" ca="1" si="96"/>
        <v>-10.941205489322295</v>
      </c>
      <c r="F238" s="304">
        <f t="shared" ca="1" si="97"/>
        <v>10.959660114271532</v>
      </c>
      <c r="G238" s="306">
        <f t="shared" ca="1" si="98"/>
        <v>10.210449102539064</v>
      </c>
      <c r="H238" s="307">
        <f t="shared" ca="1" si="99"/>
        <v>17.186831649954229</v>
      </c>
      <c r="I238" s="304">
        <f t="shared" ca="1" si="100"/>
        <v>19.99100930517039</v>
      </c>
      <c r="J238" s="306">
        <f t="shared" ca="1" si="101"/>
        <v>71.090704113029005</v>
      </c>
      <c r="K238" s="307">
        <f t="shared" ca="1" si="102"/>
        <v>281.92978692720675</v>
      </c>
      <c r="L238" s="304">
        <f t="shared" ca="1" si="87"/>
        <v>290.75469552202668</v>
      </c>
      <c r="M238" s="306">
        <f t="shared" ca="1" si="103"/>
        <v>1.0347370033530598</v>
      </c>
      <c r="N238" s="304">
        <f t="shared" ca="1" si="104"/>
        <v>59.28606319814444</v>
      </c>
      <c r="P238" s="310">
        <f t="shared" ca="1" si="105"/>
        <v>23</v>
      </c>
      <c r="Q238" s="304">
        <f t="shared" ca="1" si="106"/>
        <v>0</v>
      </c>
      <c r="R238" s="306">
        <f t="shared" ca="1" si="107"/>
        <v>0</v>
      </c>
      <c r="S238" s="307">
        <f t="shared" ca="1" si="108"/>
        <v>0.4270000000000001</v>
      </c>
      <c r="T238" s="304">
        <f t="shared" ca="1" si="88"/>
        <v>4.1888700000000014</v>
      </c>
      <c r="U238" s="311">
        <f t="shared" ca="1" si="89"/>
        <v>0</v>
      </c>
      <c r="V238" s="306">
        <f t="shared" ca="1" si="90"/>
        <v>1.1909436757138927</v>
      </c>
      <c r="W238" s="304">
        <f t="shared" ca="1" si="91"/>
        <v>0.5034549981292491</v>
      </c>
      <c r="Y238" s="314" t="str">
        <f t="shared" ca="1" si="109"/>
        <v/>
      </c>
      <c r="Z238" s="315" t="str">
        <f t="shared" ca="1" si="110"/>
        <v/>
      </c>
      <c r="AA238" s="316" t="str">
        <f t="shared" ca="1" si="111"/>
        <v/>
      </c>
      <c r="AC238" s="310" t="e">
        <f t="shared" ca="1" si="112"/>
        <v>#N/A</v>
      </c>
      <c r="AD238" s="323" t="e">
        <f t="shared" ca="1" si="113"/>
        <v>#N/A</v>
      </c>
      <c r="AE238" s="324">
        <f t="shared" ca="1" si="92"/>
        <v>281.92978692720675</v>
      </c>
      <c r="AG238" s="306">
        <f t="shared" ca="1" si="114"/>
        <v>-9.8495693243420916</v>
      </c>
      <c r="AH238" s="304">
        <f t="shared" ca="1" si="115"/>
        <v>-1.2976124690564883</v>
      </c>
    </row>
    <row r="239" spans="1:34" x14ac:dyDescent="0.3">
      <c r="A239" s="347">
        <f t="shared" ca="1" si="93"/>
        <v>0.1</v>
      </c>
      <c r="B239" s="304">
        <f t="shared" ca="1" si="94"/>
        <v>5.4999999999999973</v>
      </c>
      <c r="D239" s="306">
        <f t="shared" ca="1" si="95"/>
        <v>-0.60220298678665329</v>
      </c>
      <c r="E239" s="307">
        <f t="shared" ca="1" si="96"/>
        <v>-10.823663674247989</v>
      </c>
      <c r="F239" s="304">
        <f t="shared" ca="1" si="97"/>
        <v>10.840403302946354</v>
      </c>
      <c r="G239" s="306">
        <f t="shared" ca="1" si="98"/>
        <v>10.150228803860399</v>
      </c>
      <c r="H239" s="307">
        <f t="shared" ca="1" si="99"/>
        <v>16.104465282529429</v>
      </c>
      <c r="I239" s="304">
        <f t="shared" ca="1" si="100"/>
        <v>19.036306017894148</v>
      </c>
      <c r="J239" s="306">
        <f t="shared" ca="1" si="101"/>
        <v>72.108738008348979</v>
      </c>
      <c r="K239" s="307">
        <f t="shared" ca="1" si="102"/>
        <v>283.59435177383091</v>
      </c>
      <c r="L239" s="304">
        <f t="shared" ca="1" si="87"/>
        <v>292.618226457574</v>
      </c>
      <c r="M239" s="306">
        <f t="shared" ca="1" si="103"/>
        <v>1.0084133228684826</v>
      </c>
      <c r="N239" s="304">
        <f t="shared" ca="1" si="104"/>
        <v>57.777827405127276</v>
      </c>
      <c r="P239" s="310">
        <f t="shared" ca="1" si="105"/>
        <v>23</v>
      </c>
      <c r="Q239" s="304">
        <f t="shared" ca="1" si="106"/>
        <v>0</v>
      </c>
      <c r="R239" s="306">
        <f t="shared" ca="1" si="107"/>
        <v>0</v>
      </c>
      <c r="S239" s="307">
        <f t="shared" ca="1" si="108"/>
        <v>0.4270000000000001</v>
      </c>
      <c r="T239" s="304">
        <f t="shared" ca="1" si="88"/>
        <v>4.1888700000000014</v>
      </c>
      <c r="U239" s="311">
        <f t="shared" ca="1" si="89"/>
        <v>0</v>
      </c>
      <c r="V239" s="306">
        <f t="shared" ca="1" si="90"/>
        <v>1.1907454122875849</v>
      </c>
      <c r="W239" s="304">
        <f t="shared" ca="1" si="91"/>
        <v>0.45644059611411247</v>
      </c>
      <c r="Y239" s="314" t="str">
        <f t="shared" ca="1" si="109"/>
        <v/>
      </c>
      <c r="Z239" s="315" t="str">
        <f t="shared" ca="1" si="110"/>
        <v/>
      </c>
      <c r="AA239" s="316" t="str">
        <f t="shared" ca="1" si="111"/>
        <v/>
      </c>
      <c r="AC239" s="310" t="e">
        <f t="shared" ca="1" si="112"/>
        <v>#N/A</v>
      </c>
      <c r="AD239" s="323" t="e">
        <f t="shared" ca="1" si="113"/>
        <v>#N/A</v>
      </c>
      <c r="AE239" s="324">
        <f t="shared" ca="1" si="92"/>
        <v>283.59435177383091</v>
      </c>
      <c r="AG239" s="306">
        <f t="shared" ca="1" si="114"/>
        <v>-9.6129837877322419</v>
      </c>
      <c r="AH239" s="304">
        <f t="shared" ca="1" si="115"/>
        <v>-1.1790515178670937</v>
      </c>
    </row>
    <row r="240" spans="1:34" x14ac:dyDescent="0.3">
      <c r="A240" s="347">
        <f t="shared" ca="1" si="93"/>
        <v>0.1</v>
      </c>
      <c r="B240" s="304">
        <f t="shared" ca="1" si="94"/>
        <v>5.599999999999997</v>
      </c>
      <c r="D240" s="306">
        <f t="shared" ca="1" si="95"/>
        <v>-0.56996677915016358</v>
      </c>
      <c r="E240" s="307">
        <f t="shared" ca="1" si="96"/>
        <v>-10.71431559567681</v>
      </c>
      <c r="F240" s="304">
        <f t="shared" ca="1" si="97"/>
        <v>10.729465075813339</v>
      </c>
      <c r="G240" s="306">
        <f t="shared" ca="1" si="98"/>
        <v>10.093232125945383</v>
      </c>
      <c r="H240" s="307">
        <f t="shared" ca="1" si="99"/>
        <v>15.033033722961747</v>
      </c>
      <c r="I240" s="304">
        <f t="shared" ca="1" si="100"/>
        <v>18.107054914146616</v>
      </c>
      <c r="J240" s="306">
        <f t="shared" ca="1" si="101"/>
        <v>73.120911054839269</v>
      </c>
      <c r="K240" s="307">
        <f t="shared" ca="1" si="102"/>
        <v>285.15122672410547</v>
      </c>
      <c r="L240" s="304">
        <f t="shared" ca="1" si="87"/>
        <v>294.3771216242049</v>
      </c>
      <c r="M240" s="306">
        <f t="shared" ca="1" si="103"/>
        <v>0.97952151187767278</v>
      </c>
      <c r="N240" s="304">
        <f t="shared" ca="1" si="104"/>
        <v>56.122448572864187</v>
      </c>
      <c r="P240" s="310">
        <f t="shared" ca="1" si="105"/>
        <v>23</v>
      </c>
      <c r="Q240" s="304">
        <f t="shared" ca="1" si="106"/>
        <v>0</v>
      </c>
      <c r="R240" s="306">
        <f t="shared" ca="1" si="107"/>
        <v>0</v>
      </c>
      <c r="S240" s="307">
        <f t="shared" ca="1" si="108"/>
        <v>0.4270000000000001</v>
      </c>
      <c r="T240" s="304">
        <f t="shared" ca="1" si="88"/>
        <v>4.1888700000000014</v>
      </c>
      <c r="U240" s="311">
        <f t="shared" ca="1" si="89"/>
        <v>0</v>
      </c>
      <c r="V240" s="306">
        <f t="shared" ca="1" si="90"/>
        <v>1.1905600050664804</v>
      </c>
      <c r="W240" s="304">
        <f t="shared" ca="1" si="91"/>
        <v>0.41290193491065175</v>
      </c>
      <c r="Y240" s="314" t="str">
        <f t="shared" ca="1" si="109"/>
        <v/>
      </c>
      <c r="Z240" s="315" t="str">
        <f t="shared" ca="1" si="110"/>
        <v/>
      </c>
      <c r="AA240" s="316" t="str">
        <f t="shared" ca="1" si="111"/>
        <v/>
      </c>
      <c r="AC240" s="310" t="e">
        <f t="shared" ca="1" si="112"/>
        <v>#N/A</v>
      </c>
      <c r="AD240" s="323" t="e">
        <f t="shared" ca="1" si="113"/>
        <v>#N/A</v>
      </c>
      <c r="AE240" s="324">
        <f t="shared" ca="1" si="92"/>
        <v>285.15122672410547</v>
      </c>
      <c r="AG240" s="306">
        <f t="shared" ca="1" si="114"/>
        <v>-9.3680789008109304</v>
      </c>
      <c r="AH240" s="304">
        <f t="shared" ca="1" si="115"/>
        <v>-1.0689475318831672</v>
      </c>
    </row>
    <row r="241" spans="1:34" x14ac:dyDescent="0.3">
      <c r="A241" s="347">
        <f t="shared" ca="1" si="93"/>
        <v>0.1</v>
      </c>
      <c r="B241" s="304">
        <f t="shared" ca="1" si="94"/>
        <v>5.6999999999999966</v>
      </c>
      <c r="D241" s="306">
        <f t="shared" ca="1" si="95"/>
        <v>-0.53901578753095503</v>
      </c>
      <c r="E241" s="307">
        <f t="shared" ca="1" si="96"/>
        <v>-10.612819395219514</v>
      </c>
      <c r="F241" s="304">
        <f t="shared" ca="1" si="97"/>
        <v>10.626498648885018</v>
      </c>
      <c r="G241" s="306">
        <f t="shared" ca="1" si="98"/>
        <v>10.039330547192288</v>
      </c>
      <c r="H241" s="307">
        <f t="shared" ca="1" si="99"/>
        <v>13.971751783439796</v>
      </c>
      <c r="I241" s="304">
        <f t="shared" ca="1" si="100"/>
        <v>17.204592576804639</v>
      </c>
      <c r="J241" s="306">
        <f t="shared" ca="1" si="101"/>
        <v>74.127539188496158</v>
      </c>
      <c r="K241" s="307">
        <f t="shared" ca="1" si="102"/>
        <v>286.60146599942556</v>
      </c>
      <c r="L241" s="304">
        <f t="shared" ca="1" si="87"/>
        <v>296.03258668457755</v>
      </c>
      <c r="M241" s="306">
        <f t="shared" ca="1" si="103"/>
        <v>0.94773226739058103</v>
      </c>
      <c r="N241" s="304">
        <f t="shared" ca="1" si="104"/>
        <v>54.301059029844311</v>
      </c>
      <c r="P241" s="310">
        <f t="shared" ca="1" si="105"/>
        <v>23</v>
      </c>
      <c r="Q241" s="304">
        <f t="shared" ca="1" si="106"/>
        <v>0</v>
      </c>
      <c r="R241" s="306">
        <f t="shared" ca="1" si="107"/>
        <v>0</v>
      </c>
      <c r="S241" s="307">
        <f t="shared" ca="1" si="108"/>
        <v>0.4270000000000001</v>
      </c>
      <c r="T241" s="304">
        <f t="shared" ca="1" si="88"/>
        <v>4.1888700000000014</v>
      </c>
      <c r="U241" s="311">
        <f t="shared" ca="1" si="89"/>
        <v>0</v>
      </c>
      <c r="V241" s="306">
        <f t="shared" ca="1" si="90"/>
        <v>1.1903873226190478</v>
      </c>
      <c r="W241" s="304">
        <f t="shared" ca="1" si="91"/>
        <v>0.37271517020964218</v>
      </c>
      <c r="Y241" s="314" t="str">
        <f t="shared" ca="1" si="109"/>
        <v/>
      </c>
      <c r="Z241" s="315" t="str">
        <f t="shared" ca="1" si="110"/>
        <v/>
      </c>
      <c r="AA241" s="316" t="str">
        <f t="shared" ca="1" si="111"/>
        <v/>
      </c>
      <c r="AC241" s="310" t="e">
        <f t="shared" ca="1" si="112"/>
        <v>#N/A</v>
      </c>
      <c r="AD241" s="323" t="e">
        <f t="shared" ca="1" si="113"/>
        <v>#N/A</v>
      </c>
      <c r="AE241" s="324">
        <f t="shared" ca="1" si="92"/>
        <v>286.60146599942556</v>
      </c>
      <c r="AG241" s="306">
        <f t="shared" ca="1" si="114"/>
        <v>-9.1115470798202018</v>
      </c>
      <c r="AH241" s="304">
        <f t="shared" ca="1" si="115"/>
        <v>-0.966983454123306</v>
      </c>
    </row>
    <row r="242" spans="1:34" x14ac:dyDescent="0.3">
      <c r="A242" s="347">
        <f t="shared" ca="1" si="93"/>
        <v>0.1</v>
      </c>
      <c r="B242" s="304">
        <f t="shared" ca="1" si="94"/>
        <v>5.7999999999999963</v>
      </c>
      <c r="D242" s="306">
        <f t="shared" ca="1" si="95"/>
        <v>-0.50934207810599275</v>
      </c>
      <c r="E242" s="307">
        <f t="shared" ca="1" si="96"/>
        <v>-10.518852154504325</v>
      </c>
      <c r="F242" s="304">
        <f t="shared" ca="1" si="97"/>
        <v>10.531176572484654</v>
      </c>
      <c r="G242" s="306">
        <f t="shared" ca="1" si="98"/>
        <v>9.9883963393816888</v>
      </c>
      <c r="H242" s="307">
        <f t="shared" ca="1" si="99"/>
        <v>12.919866567989363</v>
      </c>
      <c r="I242" s="304">
        <f t="shared" ca="1" si="100"/>
        <v>16.330677070079574</v>
      </c>
      <c r="J242" s="306">
        <f t="shared" ca="1" si="101"/>
        <v>75.128925532824852</v>
      </c>
      <c r="K242" s="307">
        <f t="shared" ca="1" si="102"/>
        <v>287.94604691699703</v>
      </c>
      <c r="L242" s="304">
        <f t="shared" ca="1" si="87"/>
        <v>297.58575467727314</v>
      </c>
      <c r="M242" s="306">
        <f t="shared" ca="1" si="103"/>
        <v>0.91267208630480379</v>
      </c>
      <c r="N242" s="304">
        <f t="shared" ca="1" si="104"/>
        <v>52.292258624664882</v>
      </c>
      <c r="P242" s="310">
        <f t="shared" ca="1" si="105"/>
        <v>23</v>
      </c>
      <c r="Q242" s="304">
        <f t="shared" ca="1" si="106"/>
        <v>0</v>
      </c>
      <c r="R242" s="306">
        <f t="shared" ca="1" si="107"/>
        <v>0</v>
      </c>
      <c r="S242" s="307">
        <f t="shared" ca="1" si="108"/>
        <v>0.4270000000000001</v>
      </c>
      <c r="T242" s="304">
        <f t="shared" ca="1" si="88"/>
        <v>4.1888700000000014</v>
      </c>
      <c r="U242" s="311">
        <f t="shared" ca="1" si="89"/>
        <v>0</v>
      </c>
      <c r="V242" s="306">
        <f t="shared" ca="1" si="90"/>
        <v>1.1902272431464866</v>
      </c>
      <c r="W242" s="304">
        <f t="shared" ca="1" si="91"/>
        <v>0.33576719310633435</v>
      </c>
      <c r="Y242" s="314" t="str">
        <f t="shared" ca="1" si="109"/>
        <v/>
      </c>
      <c r="Z242" s="315" t="str">
        <f t="shared" ca="1" si="110"/>
        <v/>
      </c>
      <c r="AA242" s="316" t="str">
        <f t="shared" ca="1" si="111"/>
        <v/>
      </c>
      <c r="AC242" s="310" t="e">
        <f t="shared" ca="1" si="112"/>
        <v>#N/A</v>
      </c>
      <c r="AD242" s="323" t="e">
        <f t="shared" ca="1" si="113"/>
        <v>#N/A</v>
      </c>
      <c r="AE242" s="324">
        <f t="shared" ca="1" si="92"/>
        <v>287.94604691699703</v>
      </c>
      <c r="AG242" s="306">
        <f t="shared" ca="1" si="114"/>
        <v>-8.8395144583761294</v>
      </c>
      <c r="AH242" s="304">
        <f t="shared" ca="1" si="115"/>
        <v>-0.8728692510764452</v>
      </c>
    </row>
    <row r="243" spans="1:34" x14ac:dyDescent="0.3">
      <c r="A243" s="347">
        <f t="shared" ca="1" si="93"/>
        <v>0.1</v>
      </c>
      <c r="B243" s="304">
        <f t="shared" ca="1" si="94"/>
        <v>5.8999999999999959</v>
      </c>
      <c r="D243" s="306">
        <f t="shared" ca="1" si="95"/>
        <v>-0.48095225019686677</v>
      </c>
      <c r="E243" s="307">
        <f t="shared" ca="1" si="96"/>
        <v>-10.432105760222809</v>
      </c>
      <c r="F243" s="304">
        <f t="shared" ca="1" si="97"/>
        <v>10.443186566342829</v>
      </c>
      <c r="G243" s="306">
        <f t="shared" ca="1" si="98"/>
        <v>9.9403011143620024</v>
      </c>
      <c r="H243" s="307">
        <f t="shared" ca="1" si="99"/>
        <v>11.876655991967082</v>
      </c>
      <c r="I243" s="304">
        <f t="shared" ca="1" si="100"/>
        <v>15.487560937594855</v>
      </c>
      <c r="J243" s="306">
        <f t="shared" ca="1" si="101"/>
        <v>76.125360405512041</v>
      </c>
      <c r="K243" s="307">
        <f t="shared" ca="1" si="102"/>
        <v>289.18587304499488</v>
      </c>
      <c r="L243" s="304">
        <f t="shared" ca="1" si="87"/>
        <v>299.03768937320427</v>
      </c>
      <c r="M243" s="306">
        <f t="shared" ca="1" si="103"/>
        <v>0.87392078826534136</v>
      </c>
      <c r="N243" s="304">
        <f t="shared" ca="1" si="104"/>
        <v>50.071972796350103</v>
      </c>
      <c r="P243" s="310">
        <f t="shared" ca="1" si="105"/>
        <v>23</v>
      </c>
      <c r="Q243" s="304">
        <f t="shared" ca="1" si="106"/>
        <v>0</v>
      </c>
      <c r="R243" s="306">
        <f t="shared" ca="1" si="107"/>
        <v>0</v>
      </c>
      <c r="S243" s="307">
        <f t="shared" ca="1" si="108"/>
        <v>0.4270000000000001</v>
      </c>
      <c r="T243" s="304">
        <f t="shared" ca="1" si="88"/>
        <v>4.1888700000000014</v>
      </c>
      <c r="U243" s="311">
        <f t="shared" ca="1" si="89"/>
        <v>0</v>
      </c>
      <c r="V243" s="306">
        <f t="shared" ca="1" si="90"/>
        <v>1.1900796540879683</v>
      </c>
      <c r="W243" s="304">
        <f t="shared" ca="1" si="91"/>
        <v>0.30195489779492929</v>
      </c>
      <c r="Y243" s="314" t="str">
        <f t="shared" ca="1" si="109"/>
        <v/>
      </c>
      <c r="Z243" s="315" t="str">
        <f t="shared" ca="1" si="110"/>
        <v/>
      </c>
      <c r="AA243" s="316" t="str">
        <f t="shared" ca="1" si="111"/>
        <v/>
      </c>
      <c r="AC243" s="310" t="e">
        <f t="shared" ca="1" si="112"/>
        <v>#N/A</v>
      </c>
      <c r="AD243" s="323" t="e">
        <f t="shared" ca="1" si="113"/>
        <v>#N/A</v>
      </c>
      <c r="AE243" s="324">
        <f t="shared" ca="1" si="92"/>
        <v>289.18587304499488</v>
      </c>
      <c r="AG243" s="306">
        <f t="shared" ca="1" si="114"/>
        <v>-8.5474322675976815</v>
      </c>
      <c r="AH243" s="304">
        <f t="shared" ca="1" si="115"/>
        <v>-0.78634003069399128</v>
      </c>
    </row>
    <row r="244" spans="1:34" x14ac:dyDescent="0.3">
      <c r="A244" s="347">
        <f t="shared" ca="1" si="93"/>
        <v>0.1</v>
      </c>
      <c r="B244" s="304">
        <f t="shared" ca="1" si="94"/>
        <v>5.9999999999999956</v>
      </c>
      <c r="D244" s="306">
        <f t="shared" ca="1" si="95"/>
        <v>-0.45386920360736693</v>
      </c>
      <c r="E244" s="307">
        <f t="shared" ca="1" si="96"/>
        <v>-10.352282203987212</v>
      </c>
      <c r="F244" s="304">
        <f t="shared" ca="1" si="97"/>
        <v>10.362226791813308</v>
      </c>
      <c r="G244" s="306">
        <f t="shared" ca="1" si="98"/>
        <v>9.8949141940012648</v>
      </c>
      <c r="H244" s="307">
        <f t="shared" ca="1" si="99"/>
        <v>10.841427771568361</v>
      </c>
      <c r="I244" s="304">
        <f t="shared" ca="1" si="100"/>
        <v>14.678074908951153</v>
      </c>
      <c r="J244" s="306">
        <f t="shared" ca="1" si="101"/>
        <v>77.117121170930204</v>
      </c>
      <c r="K244" s="307">
        <f t="shared" ca="1" si="102"/>
        <v>290.32177723317164</v>
      </c>
      <c r="L244" s="304">
        <f t="shared" ca="1" si="87"/>
        <v>300.3893884835469</v>
      </c>
      <c r="M244" s="306">
        <f t="shared" ca="1" si="103"/>
        <v>0.83101165936440458</v>
      </c>
      <c r="N244" s="304">
        <f t="shared" ca="1" si="104"/>
        <v>47.6134608077436</v>
      </c>
      <c r="P244" s="310">
        <f t="shared" ca="1" si="105"/>
        <v>23</v>
      </c>
      <c r="Q244" s="304">
        <f t="shared" ca="1" si="106"/>
        <v>0</v>
      </c>
      <c r="R244" s="306">
        <f t="shared" ca="1" si="107"/>
        <v>0</v>
      </c>
      <c r="S244" s="307">
        <f t="shared" ca="1" si="108"/>
        <v>0.4270000000000001</v>
      </c>
      <c r="T244" s="304">
        <f t="shared" ca="1" si="88"/>
        <v>4.1888700000000014</v>
      </c>
      <c r="U244" s="311">
        <f t="shared" ca="1" si="89"/>
        <v>0</v>
      </c>
      <c r="V244" s="306">
        <f t="shared" ca="1" si="90"/>
        <v>1.1899444517425362</v>
      </c>
      <c r="W244" s="304">
        <f t="shared" ca="1" si="91"/>
        <v>0.27118451027744955</v>
      </c>
      <c r="Y244" s="314" t="str">
        <f t="shared" ca="1" si="109"/>
        <v/>
      </c>
      <c r="Z244" s="315" t="str">
        <f t="shared" ca="1" si="110"/>
        <v/>
      </c>
      <c r="AA244" s="316" t="str">
        <f t="shared" ca="1" si="111"/>
        <v/>
      </c>
      <c r="AC244" s="310">
        <f t="shared" ca="1" si="112"/>
        <v>5.9999999999999956</v>
      </c>
      <c r="AD244" s="323">
        <f t="shared" ca="1" si="113"/>
        <v>77.117121170930204</v>
      </c>
      <c r="AE244" s="324">
        <f t="shared" ca="1" si="92"/>
        <v>290.32177723317164</v>
      </c>
      <c r="AG244" s="306">
        <f t="shared" ca="1" si="114"/>
        <v>-8.2299654240266769</v>
      </c>
      <c r="AH244" s="304">
        <f t="shared" ca="1" si="115"/>
        <v>-0.70715432738859296</v>
      </c>
    </row>
    <row r="245" spans="1:34" x14ac:dyDescent="0.3">
      <c r="A245" s="347">
        <f t="shared" ca="1" si="93"/>
        <v>0.1</v>
      </c>
      <c r="B245" s="304">
        <f t="shared" ca="1" si="94"/>
        <v>6.0999999999999952</v>
      </c>
      <c r="D245" s="306">
        <f t="shared" ca="1" si="95"/>
        <v>-0.42813421568073501</v>
      </c>
      <c r="E245" s="307">
        <f t="shared" ca="1" si="96"/>
        <v>-10.279088067348143</v>
      </c>
      <c r="F245" s="304">
        <f t="shared" ca="1" si="97"/>
        <v>10.288000311184653</v>
      </c>
      <c r="G245" s="306">
        <f t="shared" ca="1" si="98"/>
        <v>9.8521007724331913</v>
      </c>
      <c r="H245" s="307">
        <f t="shared" ca="1" si="99"/>
        <v>9.8135189648335466</v>
      </c>
      <c r="I245" s="304">
        <f t="shared" ca="1" si="100"/>
        <v>13.905719834058443</v>
      </c>
      <c r="J245" s="306">
        <f t="shared" ca="1" si="101"/>
        <v>78.104471919251921</v>
      </c>
      <c r="K245" s="307">
        <f t="shared" ca="1" si="102"/>
        <v>291.35452456999172</v>
      </c>
      <c r="L245" s="304">
        <f t="shared" ca="1" si="87"/>
        <v>301.64178676236344</v>
      </c>
      <c r="M245" s="306">
        <f t="shared" ca="1" si="103"/>
        <v>0.783436274648732</v>
      </c>
      <c r="N245" s="304">
        <f t="shared" ca="1" si="104"/>
        <v>44.887592054824353</v>
      </c>
      <c r="P245" s="310">
        <f t="shared" ca="1" si="105"/>
        <v>23</v>
      </c>
      <c r="Q245" s="304">
        <f t="shared" ca="1" si="106"/>
        <v>0</v>
      </c>
      <c r="R245" s="306">
        <f t="shared" ca="1" si="107"/>
        <v>0</v>
      </c>
      <c r="S245" s="307">
        <f t="shared" ca="1" si="108"/>
        <v>0.4270000000000001</v>
      </c>
      <c r="T245" s="304">
        <f t="shared" ca="1" si="88"/>
        <v>4.1888700000000014</v>
      </c>
      <c r="U245" s="311">
        <f t="shared" ca="1" si="89"/>
        <v>0</v>
      </c>
      <c r="V245" s="306">
        <f t="shared" ca="1" si="90"/>
        <v>1.1898215409014639</v>
      </c>
      <c r="W245" s="304">
        <f t="shared" ca="1" si="91"/>
        <v>0.24337096783881557</v>
      </c>
      <c r="Y245" s="314" t="str">
        <f t="shared" ca="1" si="109"/>
        <v/>
      </c>
      <c r="Z245" s="315" t="str">
        <f t="shared" ca="1" si="110"/>
        <v/>
      </c>
      <c r="AA245" s="316" t="str">
        <f t="shared" ca="1" si="111"/>
        <v/>
      </c>
      <c r="AC245" s="310" t="e">
        <f t="shared" ca="1" si="112"/>
        <v>#N/A</v>
      </c>
      <c r="AD245" s="323" t="e">
        <f t="shared" ca="1" si="113"/>
        <v>#N/A</v>
      </c>
      <c r="AE245" s="324">
        <f t="shared" ca="1" si="92"/>
        <v>291.35452456999172</v>
      </c>
      <c r="AG245" s="306">
        <f t="shared" ca="1" si="114"/>
        <v>-7.8808932973137322</v>
      </c>
      <c r="AH245" s="304">
        <f t="shared" ca="1" si="115"/>
        <v>-0.6350925299237693</v>
      </c>
    </row>
    <row r="246" spans="1:34" x14ac:dyDescent="0.3">
      <c r="A246" s="347">
        <f t="shared" ca="1" si="93"/>
        <v>0.1</v>
      </c>
      <c r="B246" s="304">
        <f t="shared" ca="1" si="94"/>
        <v>6.1999999999999948</v>
      </c>
      <c r="D246" s="306">
        <f t="shared" ca="1" si="95"/>
        <v>-0.40380925125565698</v>
      </c>
      <c r="E246" s="307">
        <f t="shared" ca="1" si="96"/>
        <v>-10.212227894020407</v>
      </c>
      <c r="F246" s="304">
        <f t="shared" ca="1" si="97"/>
        <v>10.22020843578095</v>
      </c>
      <c r="G246" s="306">
        <f t="shared" ca="1" si="98"/>
        <v>9.811719847307625</v>
      </c>
      <c r="H246" s="307">
        <f t="shared" ca="1" si="99"/>
        <v>8.7922961754315061</v>
      </c>
      <c r="I246" s="304">
        <f t="shared" ca="1" si="100"/>
        <v>13.17476065811284</v>
      </c>
      <c r="J246" s="306">
        <f t="shared" ca="1" si="101"/>
        <v>79.087662950238965</v>
      </c>
      <c r="K246" s="307">
        <f t="shared" ca="1" si="102"/>
        <v>292.28481532700499</v>
      </c>
      <c r="L246" s="304">
        <f t="shared" ca="1" si="87"/>
        <v>302.79575905496432</v>
      </c>
      <c r="M246" s="306">
        <f t="shared" ca="1" si="103"/>
        <v>0.73065701497591251</v>
      </c>
      <c r="N246" s="304">
        <f t="shared" ca="1" si="104"/>
        <v>41.863563229746774</v>
      </c>
      <c r="P246" s="310">
        <f t="shared" ca="1" si="105"/>
        <v>23</v>
      </c>
      <c r="Q246" s="304">
        <f t="shared" ca="1" si="106"/>
        <v>0</v>
      </c>
      <c r="R246" s="306">
        <f t="shared" ca="1" si="107"/>
        <v>0</v>
      </c>
      <c r="S246" s="307">
        <f t="shared" ca="1" si="108"/>
        <v>0.4270000000000001</v>
      </c>
      <c r="T246" s="304">
        <f t="shared" ca="1" si="88"/>
        <v>4.1888700000000014</v>
      </c>
      <c r="U246" s="311">
        <f t="shared" ca="1" si="89"/>
        <v>0</v>
      </c>
      <c r="V246" s="306">
        <f t="shared" ca="1" si="90"/>
        <v>1.1897108344837399</v>
      </c>
      <c r="W246" s="304">
        <f t="shared" ca="1" si="91"/>
        <v>0.21843733871647802</v>
      </c>
      <c r="Y246" s="314" t="str">
        <f t="shared" ca="1" si="109"/>
        <v/>
      </c>
      <c r="Z246" s="315" t="str">
        <f t="shared" ca="1" si="110"/>
        <v/>
      </c>
      <c r="AA246" s="316" t="str">
        <f t="shared" ca="1" si="111"/>
        <v/>
      </c>
      <c r="AC246" s="310" t="e">
        <f t="shared" ca="1" si="112"/>
        <v>#N/A</v>
      </c>
      <c r="AD246" s="323" t="e">
        <f t="shared" ca="1" si="113"/>
        <v>#N/A</v>
      </c>
      <c r="AE246" s="324">
        <f t="shared" ca="1" si="92"/>
        <v>292.28481532700499</v>
      </c>
      <c r="AG246" s="306">
        <f t="shared" ca="1" si="114"/>
        <v>-7.4930505425674783</v>
      </c>
      <c r="AH246" s="304">
        <f t="shared" ca="1" si="115"/>
        <v>-0.56995542819394729</v>
      </c>
    </row>
    <row r="247" spans="1:34" x14ac:dyDescent="0.3">
      <c r="A247" s="347">
        <f t="shared" ca="1" si="93"/>
        <v>0.1</v>
      </c>
      <c r="B247" s="304">
        <f t="shared" ca="1" si="94"/>
        <v>6.2999999999999945</v>
      </c>
      <c r="D247" s="306">
        <f t="shared" ca="1" si="95"/>
        <v>-0.38097932397656359</v>
      </c>
      <c r="E247" s="307">
        <f t="shared" ca="1" si="96"/>
        <v>-10.151396116608119</v>
      </c>
      <c r="F247" s="304">
        <f t="shared" ca="1" si="97"/>
        <v>10.158542629805913</v>
      </c>
      <c r="G247" s="306">
        <f t="shared" ca="1" si="98"/>
        <v>9.7736219149099686</v>
      </c>
      <c r="H247" s="307">
        <f t="shared" ca="1" si="99"/>
        <v>7.7771565637706939</v>
      </c>
      <c r="I247" s="304">
        <f t="shared" ca="1" si="100"/>
        <v>12.490310226451943</v>
      </c>
      <c r="J247" s="306">
        <f t="shared" ca="1" si="101"/>
        <v>80.066930038349838</v>
      </c>
      <c r="K247" s="307">
        <f t="shared" ca="1" si="102"/>
        <v>293.11328796396509</v>
      </c>
      <c r="L247" s="304">
        <f t="shared" ca="1" si="87"/>
        <v>303.8521233541282</v>
      </c>
      <c r="M247" s="306">
        <f t="shared" ca="1" si="103"/>
        <v>0.67213137876896001</v>
      </c>
      <c r="N247" s="304">
        <f t="shared" ca="1" si="104"/>
        <v>38.510291281770357</v>
      </c>
      <c r="P247" s="310">
        <f t="shared" ca="1" si="105"/>
        <v>23</v>
      </c>
      <c r="Q247" s="304">
        <f t="shared" ca="1" si="106"/>
        <v>0</v>
      </c>
      <c r="R247" s="306">
        <f t="shared" ca="1" si="107"/>
        <v>0</v>
      </c>
      <c r="S247" s="307">
        <f t="shared" ca="1" si="108"/>
        <v>0.4270000000000001</v>
      </c>
      <c r="T247" s="304">
        <f t="shared" ca="1" si="88"/>
        <v>4.1888700000000014</v>
      </c>
      <c r="U247" s="311">
        <f t="shared" ca="1" si="89"/>
        <v>0</v>
      </c>
      <c r="V247" s="306">
        <f t="shared" ca="1" si="90"/>
        <v>1.1896122531658242</v>
      </c>
      <c r="W247" s="304">
        <f t="shared" ca="1" si="91"/>
        <v>0.19631427066955015</v>
      </c>
      <c r="Y247" s="314" t="str">
        <f t="shared" ca="1" si="109"/>
        <v/>
      </c>
      <c r="Z247" s="315" t="str">
        <f t="shared" ca="1" si="110"/>
        <v/>
      </c>
      <c r="AA247" s="316" t="str">
        <f t="shared" ca="1" si="111"/>
        <v/>
      </c>
      <c r="AC247" s="310" t="e">
        <f t="shared" ca="1" si="112"/>
        <v>#N/A</v>
      </c>
      <c r="AD247" s="323" t="e">
        <f t="shared" ca="1" si="113"/>
        <v>#N/A</v>
      </c>
      <c r="AE247" s="324">
        <f t="shared" ca="1" si="92"/>
        <v>293.11328796396509</v>
      </c>
      <c r="AG247" s="306">
        <f t="shared" ca="1" si="114"/>
        <v>-7.0583554463704967</v>
      </c>
      <c r="AH247" s="304">
        <f t="shared" ca="1" si="115"/>
        <v>-0.5115628541369508</v>
      </c>
    </row>
    <row r="248" spans="1:34" x14ac:dyDescent="0.3">
      <c r="A248" s="347">
        <f t="shared" ca="1" si="93"/>
        <v>0.1</v>
      </c>
      <c r="B248" s="304">
        <f t="shared" ca="1" si="94"/>
        <v>6.3999999999999941</v>
      </c>
      <c r="D248" s="306">
        <f t="shared" ca="1" si="95"/>
        <v>-0.35975455821859381</v>
      </c>
      <c r="E248" s="307">
        <f t="shared" ca="1" si="96"/>
        <v>-10.096267214769986</v>
      </c>
      <c r="F248" s="304">
        <f t="shared" ca="1" si="97"/>
        <v>10.102674646557631</v>
      </c>
      <c r="G248" s="306">
        <f t="shared" ca="1" si="98"/>
        <v>9.7376464590881096</v>
      </c>
      <c r="H248" s="307">
        <f t="shared" ca="1" si="99"/>
        <v>6.7675298422936949</v>
      </c>
      <c r="I248" s="304">
        <f t="shared" ca="1" si="100"/>
        <v>11.858381792155576</v>
      </c>
      <c r="J248" s="306">
        <f t="shared" ca="1" si="101"/>
        <v>81.042493457049744</v>
      </c>
      <c r="K248" s="307">
        <f t="shared" ca="1" si="102"/>
        <v>293.84052228426833</v>
      </c>
      <c r="L248" s="304">
        <f t="shared" ca="1" si="87"/>
        <v>304.81164394102063</v>
      </c>
      <c r="M248" s="306">
        <f t="shared" ca="1" si="103"/>
        <v>0.60735306126662802</v>
      </c>
      <c r="N248" s="304">
        <f t="shared" ca="1" si="104"/>
        <v>34.798767084928301</v>
      </c>
      <c r="P248" s="310">
        <f t="shared" ca="1" si="105"/>
        <v>23</v>
      </c>
      <c r="Q248" s="304">
        <f t="shared" ca="1" si="106"/>
        <v>0</v>
      </c>
      <c r="R248" s="306">
        <f t="shared" ca="1" si="107"/>
        <v>0</v>
      </c>
      <c r="S248" s="307">
        <f t="shared" ca="1" si="108"/>
        <v>0.4270000000000001</v>
      </c>
      <c r="T248" s="304">
        <f t="shared" ca="1" si="88"/>
        <v>4.1888700000000014</v>
      </c>
      <c r="U248" s="311">
        <f t="shared" ca="1" si="89"/>
        <v>0</v>
      </c>
      <c r="V248" s="306">
        <f t="shared" ca="1" si="90"/>
        <v>1.1895257249949347</v>
      </c>
      <c r="W248" s="304">
        <f t="shared" ca="1" si="91"/>
        <v>0.17693945603075076</v>
      </c>
      <c r="Y248" s="314" t="str">
        <f t="shared" ca="1" si="109"/>
        <v/>
      </c>
      <c r="Z248" s="315" t="str">
        <f t="shared" ca="1" si="110"/>
        <v/>
      </c>
      <c r="AA248" s="316" t="str">
        <f t="shared" ca="1" si="111"/>
        <v/>
      </c>
      <c r="AC248" s="310" t="e">
        <f t="shared" ca="1" si="112"/>
        <v>#N/A</v>
      </c>
      <c r="AD248" s="323" t="e">
        <f t="shared" ca="1" si="113"/>
        <v>#N/A</v>
      </c>
      <c r="AE248" s="324">
        <f t="shared" ca="1" si="92"/>
        <v>293.84052228426833</v>
      </c>
      <c r="AG248" s="306">
        <f t="shared" ca="1" si="114"/>
        <v>-6.5679998643579651</v>
      </c>
      <c r="AH248" s="304">
        <f t="shared" ca="1" si="115"/>
        <v>-0.45975239032681525</v>
      </c>
    </row>
    <row r="249" spans="1:34" x14ac:dyDescent="0.3">
      <c r="A249" s="347">
        <f t="shared" ca="1" si="93"/>
        <v>0.1</v>
      </c>
      <c r="B249" s="304">
        <f t="shared" ca="1" si="94"/>
        <v>6.4999999999999938</v>
      </c>
      <c r="D249" s="306">
        <f t="shared" ca="1" si="95"/>
        <v>-0.34027135203507625</v>
      </c>
      <c r="E249" s="307">
        <f t="shared" ca="1" si="96"/>
        <v>-10.046483891569695</v>
      </c>
      <c r="F249" s="304">
        <f t="shared" ca="1" si="97"/>
        <v>10.052244683481652</v>
      </c>
      <c r="G249" s="306">
        <f t="shared" ca="1" si="98"/>
        <v>9.7036193238846025</v>
      </c>
      <c r="H249" s="307">
        <f t="shared" ca="1" si="99"/>
        <v>5.7628814531367256</v>
      </c>
      <c r="I249" s="304">
        <f t="shared" ca="1" si="100"/>
        <v>11.285877485857</v>
      </c>
      <c r="J249" s="306">
        <f t="shared" ca="1" si="101"/>
        <v>82.01455674619838</v>
      </c>
      <c r="K249" s="307">
        <f t="shared" ca="1" si="102"/>
        <v>294.46704284903984</v>
      </c>
      <c r="L249" s="304">
        <f t="shared" ca="1" si="87"/>
        <v>305.67503470603168</v>
      </c>
      <c r="M249" s="306">
        <f t="shared" ca="1" si="103"/>
        <v>0.53591466237387608</v>
      </c>
      <c r="N249" s="304">
        <f t="shared" ca="1" si="104"/>
        <v>30.705648333201559</v>
      </c>
      <c r="P249" s="310">
        <f t="shared" ca="1" si="105"/>
        <v>23</v>
      </c>
      <c r="Q249" s="304">
        <f t="shared" ca="1" si="106"/>
        <v>0</v>
      </c>
      <c r="R249" s="306">
        <f t="shared" ca="1" si="107"/>
        <v>0</v>
      </c>
      <c r="S249" s="307">
        <f t="shared" ca="1" si="108"/>
        <v>0.4270000000000001</v>
      </c>
      <c r="T249" s="304">
        <f t="shared" ca="1" si="88"/>
        <v>4.1888700000000014</v>
      </c>
      <c r="U249" s="311">
        <f t="shared" ca="1" si="89"/>
        <v>0</v>
      </c>
      <c r="V249" s="306">
        <f t="shared" ca="1" si="90"/>
        <v>1.1894511849728839</v>
      </c>
      <c r="W249" s="304">
        <f t="shared" ca="1" si="91"/>
        <v>0.16025709938063476</v>
      </c>
      <c r="Y249" s="314" t="str">
        <f t="shared" ca="1" si="109"/>
        <v/>
      </c>
      <c r="Z249" s="315" t="str">
        <f t="shared" ca="1" si="110"/>
        <v/>
      </c>
      <c r="AA249" s="316" t="str">
        <f t="shared" ca="1" si="111"/>
        <v/>
      </c>
      <c r="AC249" s="310" t="e">
        <f t="shared" ca="1" si="112"/>
        <v>#N/A</v>
      </c>
      <c r="AD249" s="323" t="e">
        <f t="shared" ca="1" si="113"/>
        <v>#N/A</v>
      </c>
      <c r="AE249" s="324">
        <f t="shared" ca="1" si="92"/>
        <v>294.46704284903984</v>
      </c>
      <c r="AG249" s="306">
        <f t="shared" ca="1" si="114"/>
        <v>-6.0129048737292345</v>
      </c>
      <c r="AH249" s="304">
        <f t="shared" ca="1" si="115"/>
        <v>-0.41437811716803447</v>
      </c>
    </row>
    <row r="250" spans="1:34" x14ac:dyDescent="0.3">
      <c r="A250" s="347">
        <f t="shared" ca="1" si="93"/>
        <v>0.1</v>
      </c>
      <c r="B250" s="304">
        <f t="shared" ca="1" si="94"/>
        <v>6.5999999999999934</v>
      </c>
      <c r="D250" s="306">
        <f t="shared" ca="1" si="95"/>
        <v>-0.32269172008625752</v>
      </c>
      <c r="E250" s="307">
        <f t="shared" ca="1" si="96"/>
        <v>-10.001643351485209</v>
      </c>
      <c r="F250" s="304">
        <f t="shared" ca="1" si="97"/>
        <v>10.006847639317813</v>
      </c>
      <c r="G250" s="306">
        <f t="shared" ca="1" si="98"/>
        <v>9.671350151875977</v>
      </c>
      <c r="H250" s="307">
        <f t="shared" ca="1" si="99"/>
        <v>4.7627171179882044</v>
      </c>
      <c r="I250" s="304">
        <f t="shared" ca="1" si="100"/>
        <v>10.780467898295017</v>
      </c>
      <c r="J250" s="306">
        <f t="shared" ca="1" si="101"/>
        <v>82.983305219986406</v>
      </c>
      <c r="K250" s="307">
        <f t="shared" ca="1" si="102"/>
        <v>294.99332277759606</v>
      </c>
      <c r="L250" s="304">
        <f t="shared" ca="1" si="87"/>
        <v>306.44296276566769</v>
      </c>
      <c r="M250" s="306">
        <f t="shared" ca="1" si="103"/>
        <v>0.45759444131730065</v>
      </c>
      <c r="N250" s="304">
        <f t="shared" ca="1" si="104"/>
        <v>26.218230216128145</v>
      </c>
      <c r="P250" s="310">
        <f t="shared" ca="1" si="105"/>
        <v>23</v>
      </c>
      <c r="Q250" s="304">
        <f t="shared" ca="1" si="106"/>
        <v>0</v>
      </c>
      <c r="R250" s="306">
        <f t="shared" ca="1" si="107"/>
        <v>0</v>
      </c>
      <c r="S250" s="307">
        <f t="shared" ca="1" si="108"/>
        <v>0.4270000000000001</v>
      </c>
      <c r="T250" s="304">
        <f t="shared" ca="1" si="88"/>
        <v>4.1888700000000014</v>
      </c>
      <c r="U250" s="311">
        <f t="shared" ca="1" si="89"/>
        <v>0</v>
      </c>
      <c r="V250" s="306">
        <f t="shared" ca="1" si="90"/>
        <v>1.1893885745951951</v>
      </c>
      <c r="W250" s="304">
        <f t="shared" ca="1" si="91"/>
        <v>0.14621737244224861</v>
      </c>
      <c r="Y250" s="314" t="str">
        <f t="shared" ca="1" si="109"/>
        <v/>
      </c>
      <c r="Z250" s="315" t="str">
        <f t="shared" ca="1" si="110"/>
        <v/>
      </c>
      <c r="AA250" s="316" t="str">
        <f t="shared" ca="1" si="111"/>
        <v/>
      </c>
      <c r="AC250" s="310" t="e">
        <f t="shared" ca="1" si="112"/>
        <v>#N/A</v>
      </c>
      <c r="AD250" s="323" t="e">
        <f t="shared" ca="1" si="113"/>
        <v>#N/A</v>
      </c>
      <c r="AE250" s="324">
        <f t="shared" ca="1" si="92"/>
        <v>294.99332277759606</v>
      </c>
      <c r="AG250" s="306">
        <f t="shared" ca="1" si="114"/>
        <v>-5.3845669207381386</v>
      </c>
      <c r="AH250" s="304">
        <f t="shared" ca="1" si="115"/>
        <v>-0.37530936623099465</v>
      </c>
    </row>
    <row r="251" spans="1:34" x14ac:dyDescent="0.3">
      <c r="A251" s="347">
        <f t="shared" ca="1" si="93"/>
        <v>0.1</v>
      </c>
      <c r="B251" s="304">
        <f t="shared" ca="1" si="94"/>
        <v>6.6999999999999931</v>
      </c>
      <c r="D251" s="306">
        <f t="shared" ca="1" si="95"/>
        <v>-0.30719956528591635</v>
      </c>
      <c r="E251" s="307">
        <f t="shared" ca="1" si="96"/>
        <v>-9.9612823551261833</v>
      </c>
      <c r="F251" s="304">
        <f t="shared" ca="1" si="97"/>
        <v>9.9660181482606234</v>
      </c>
      <c r="G251" s="306">
        <f t="shared" ca="1" si="98"/>
        <v>9.6406301953473861</v>
      </c>
      <c r="H251" s="307">
        <f t="shared" ca="1" si="99"/>
        <v>3.766588882475586</v>
      </c>
      <c r="I251" s="304">
        <f t="shared" ca="1" si="100"/>
        <v>10.350311221071204</v>
      </c>
      <c r="J251" s="306">
        <f t="shared" ca="1" si="101"/>
        <v>83.948904237347577</v>
      </c>
      <c r="K251" s="307">
        <f t="shared" ca="1" si="102"/>
        <v>295.41978807761927</v>
      </c>
      <c r="L251" s="304">
        <f t="shared" ca="1" si="87"/>
        <v>307.11605251187513</v>
      </c>
      <c r="M251" s="306">
        <f t="shared" ca="1" si="103"/>
        <v>0.37246303589467794</v>
      </c>
      <c r="N251" s="304">
        <f t="shared" ca="1" si="104"/>
        <v>21.340559981394733</v>
      </c>
      <c r="P251" s="310">
        <f t="shared" ca="1" si="105"/>
        <v>23</v>
      </c>
      <c r="Q251" s="304">
        <f t="shared" ca="1" si="106"/>
        <v>0</v>
      </c>
      <c r="R251" s="306">
        <f t="shared" ca="1" si="107"/>
        <v>0</v>
      </c>
      <c r="S251" s="307">
        <f t="shared" ca="1" si="108"/>
        <v>0.4270000000000001</v>
      </c>
      <c r="T251" s="304">
        <f t="shared" ca="1" si="88"/>
        <v>4.1888700000000014</v>
      </c>
      <c r="U251" s="311">
        <f t="shared" ca="1" si="89"/>
        <v>0</v>
      </c>
      <c r="V251" s="306">
        <f t="shared" ca="1" si="90"/>
        <v>1.1893378413283502</v>
      </c>
      <c r="W251" s="304">
        <f t="shared" ca="1" si="91"/>
        <v>0.13477583962914305</v>
      </c>
      <c r="Y251" s="314" t="str">
        <f t="shared" ca="1" si="109"/>
        <v/>
      </c>
      <c r="Z251" s="315" t="str">
        <f t="shared" ca="1" si="110"/>
        <v/>
      </c>
      <c r="AA251" s="316" t="str">
        <f t="shared" ca="1" si="111"/>
        <v/>
      </c>
      <c r="AC251" s="310" t="e">
        <f t="shared" ca="1" si="112"/>
        <v>#N/A</v>
      </c>
      <c r="AD251" s="323" t="e">
        <f t="shared" ca="1" si="113"/>
        <v>#N/A</v>
      </c>
      <c r="AE251" s="324">
        <f t="shared" ca="1" si="92"/>
        <v>295.41978807761927</v>
      </c>
      <c r="AG251" s="306">
        <f t="shared" ca="1" si="114"/>
        <v>-4.6764022700935559</v>
      </c>
      <c r="AH251" s="304">
        <f t="shared" ca="1" si="115"/>
        <v>-0.34242944365866179</v>
      </c>
    </row>
    <row r="252" spans="1:34" x14ac:dyDescent="0.3">
      <c r="A252" s="347">
        <f t="shared" ca="1" si="93"/>
        <v>0.1</v>
      </c>
      <c r="B252" s="304">
        <f t="shared" ca="1" si="94"/>
        <v>6.7999999999999927</v>
      </c>
      <c r="D252" s="306">
        <f t="shared" ca="1" si="95"/>
        <v>-0.29399245608926389</v>
      </c>
      <c r="E252" s="307">
        <f t="shared" ca="1" si="96"/>
        <v>-9.9248626899071315</v>
      </c>
      <c r="F252" s="304">
        <f t="shared" ca="1" si="97"/>
        <v>9.9292160303695685</v>
      </c>
      <c r="G252" s="306">
        <f t="shared" ca="1" si="98"/>
        <v>9.6112309497384594</v>
      </c>
      <c r="H252" s="307">
        <f t="shared" ca="1" si="99"/>
        <v>2.7741026134848727</v>
      </c>
      <c r="I252" s="304">
        <f t="shared" ca="1" si="100"/>
        <v>10.003569646848772</v>
      </c>
      <c r="J252" s="306">
        <f t="shared" ca="1" si="101"/>
        <v>84.911497294601872</v>
      </c>
      <c r="K252" s="307">
        <f t="shared" ca="1" si="102"/>
        <v>295.74682265241728</v>
      </c>
      <c r="L252" s="304">
        <f t="shared" ca="1" si="87"/>
        <v>307.69489024325952</v>
      </c>
      <c r="M252" s="306">
        <f t="shared" ca="1" si="103"/>
        <v>0.28099448921718539</v>
      </c>
      <c r="N252" s="304">
        <f t="shared" ca="1" si="104"/>
        <v>16.099798298579042</v>
      </c>
      <c r="P252" s="310">
        <f t="shared" ca="1" si="105"/>
        <v>23</v>
      </c>
      <c r="Q252" s="304">
        <f t="shared" ca="1" si="106"/>
        <v>0</v>
      </c>
      <c r="R252" s="306">
        <f t="shared" ca="1" si="107"/>
        <v>0</v>
      </c>
      <c r="S252" s="307">
        <f t="shared" ca="1" si="108"/>
        <v>0.4270000000000001</v>
      </c>
      <c r="T252" s="304">
        <f t="shared" ca="1" si="88"/>
        <v>4.1888700000000014</v>
      </c>
      <c r="U252" s="311">
        <f t="shared" ca="1" si="89"/>
        <v>0</v>
      </c>
      <c r="V252" s="306">
        <f t="shared" ca="1" si="90"/>
        <v>1.189298938007558</v>
      </c>
      <c r="W252" s="304">
        <f t="shared" ca="1" si="91"/>
        <v>0.12589283770644874</v>
      </c>
      <c r="Y252" s="314" t="str">
        <f t="shared" ca="1" si="109"/>
        <v/>
      </c>
      <c r="Z252" s="315" t="str">
        <f t="shared" ca="1" si="110"/>
        <v/>
      </c>
      <c r="AA252" s="316" t="str">
        <f t="shared" ca="1" si="111"/>
        <v/>
      </c>
      <c r="AC252" s="310" t="e">
        <f t="shared" ca="1" si="112"/>
        <v>#N/A</v>
      </c>
      <c r="AD252" s="323" t="e">
        <f t="shared" ca="1" si="113"/>
        <v>#N/A</v>
      </c>
      <c r="AE252" s="324">
        <f t="shared" ca="1" si="92"/>
        <v>295.74682265241728</v>
      </c>
      <c r="AG252" s="306">
        <f t="shared" ca="1" si="114"/>
        <v>-3.8855981388661247</v>
      </c>
      <c r="AH252" s="304">
        <f t="shared" ca="1" si="115"/>
        <v>-0.31563428484576822</v>
      </c>
    </row>
    <row r="253" spans="1:34" x14ac:dyDescent="0.3">
      <c r="A253" s="347">
        <f t="shared" ca="1" si="93"/>
        <v>0.1</v>
      </c>
      <c r="B253" s="304">
        <f t="shared" ca="1" si="94"/>
        <v>6.8999999999999924</v>
      </c>
      <c r="D253" s="306">
        <f t="shared" ca="1" si="95"/>
        <v>-0.28326776821474425</v>
      </c>
      <c r="E253" s="307">
        <f t="shared" ca="1" si="96"/>
        <v>-9.8917599598043093</v>
      </c>
      <c r="F253" s="304">
        <f t="shared" ca="1" si="97"/>
        <v>9.8958150614740727</v>
      </c>
      <c r="G253" s="306">
        <f t="shared" ca="1" si="98"/>
        <v>9.5829041729169848</v>
      </c>
      <c r="H253" s="307">
        <f t="shared" ca="1" si="99"/>
        <v>1.7849266175044418</v>
      </c>
      <c r="I253" s="304">
        <f t="shared" ca="1" si="100"/>
        <v>9.7477184724008943</v>
      </c>
      <c r="J253" s="306">
        <f t="shared" ca="1" si="101"/>
        <v>85.871204050734647</v>
      </c>
      <c r="K253" s="307">
        <f t="shared" ca="1" si="102"/>
        <v>295.97477411396676</v>
      </c>
      <c r="L253" s="304">
        <f t="shared" ca="1" si="87"/>
        <v>308.18002952322615</v>
      </c>
      <c r="M253" s="306">
        <f t="shared" ca="1" si="103"/>
        <v>0.18415129599853039</v>
      </c>
      <c r="N253" s="304">
        <f t="shared" ca="1" si="104"/>
        <v>10.551092052580156</v>
      </c>
      <c r="P253" s="310">
        <f t="shared" ca="1" si="105"/>
        <v>23</v>
      </c>
      <c r="Q253" s="304">
        <f t="shared" ca="1" si="106"/>
        <v>0</v>
      </c>
      <c r="R253" s="306">
        <f t="shared" ca="1" si="107"/>
        <v>0</v>
      </c>
      <c r="S253" s="307">
        <f t="shared" ca="1" si="108"/>
        <v>0.4270000000000001</v>
      </c>
      <c r="T253" s="304">
        <f t="shared" ca="1" si="88"/>
        <v>4.1888700000000014</v>
      </c>
      <c r="U253" s="311">
        <f t="shared" ca="1" si="89"/>
        <v>0</v>
      </c>
      <c r="V253" s="306">
        <f t="shared" ca="1" si="90"/>
        <v>1.1892718221396257</v>
      </c>
      <c r="W253" s="304">
        <f t="shared" ca="1" si="91"/>
        <v>0.11953279539534284</v>
      </c>
      <c r="Y253" s="314" t="str">
        <f t="shared" ca="1" si="109"/>
        <v/>
      </c>
      <c r="Z253" s="315" t="str">
        <f t="shared" ca="1" si="110"/>
        <v/>
      </c>
      <c r="AA253" s="316" t="str">
        <f t="shared" ca="1" si="111"/>
        <v/>
      </c>
      <c r="AC253" s="310" t="e">
        <f t="shared" ca="1" si="112"/>
        <v>#N/A</v>
      </c>
      <c r="AD253" s="323" t="e">
        <f t="shared" ca="1" si="113"/>
        <v>#N/A</v>
      </c>
      <c r="AE253" s="324">
        <f t="shared" ca="1" si="92"/>
        <v>295.97477411396676</v>
      </c>
      <c r="AG253" s="306">
        <f t="shared" ca="1" si="114"/>
        <v>-3.0152545703411784</v>
      </c>
      <c r="AH253" s="304">
        <f t="shared" ca="1" si="115"/>
        <v>-0.29483100165444664</v>
      </c>
    </row>
    <row r="254" spans="1:34" x14ac:dyDescent="0.3">
      <c r="A254" s="347">
        <f t="shared" ca="1" si="93"/>
        <v>0.1</v>
      </c>
      <c r="B254" s="304">
        <f t="shared" ca="1" si="94"/>
        <v>6.999999999999992</v>
      </c>
      <c r="D254" s="306">
        <f t="shared" ca="1" si="95"/>
        <v>-0.27520312978185713</v>
      </c>
      <c r="E254" s="307">
        <f t="shared" ca="1" si="96"/>
        <v>-9.8612597624586957</v>
      </c>
      <c r="F254" s="304">
        <f t="shared" ca="1" si="97"/>
        <v>9.8650991310441807</v>
      </c>
      <c r="G254" s="306">
        <f t="shared" ca="1" si="98"/>
        <v>9.5553838599387984</v>
      </c>
      <c r="H254" s="307">
        <f t="shared" ca="1" si="99"/>
        <v>0.7988006412585722</v>
      </c>
      <c r="I254" s="304">
        <f t="shared" ca="1" si="100"/>
        <v>9.588714365088471</v>
      </c>
      <c r="J254" s="306">
        <f t="shared" ca="1" si="101"/>
        <v>86.828118452377439</v>
      </c>
      <c r="K254" s="307">
        <f t="shared" ca="1" si="102"/>
        <v>296.10396047690489</v>
      </c>
      <c r="L254" s="304">
        <f t="shared" ca="1" si="87"/>
        <v>308.57199737514833</v>
      </c>
      <c r="M254" s="306">
        <f t="shared" ca="1" si="103"/>
        <v>8.3402993040908355E-2</v>
      </c>
      <c r="N254" s="304">
        <f t="shared" ca="1" si="104"/>
        <v>4.7786395000030248</v>
      </c>
      <c r="P254" s="310">
        <f t="shared" ca="1" si="105"/>
        <v>23</v>
      </c>
      <c r="Q254" s="304">
        <f t="shared" ca="1" si="106"/>
        <v>0</v>
      </c>
      <c r="R254" s="306">
        <f t="shared" ca="1" si="107"/>
        <v>0</v>
      </c>
      <c r="S254" s="307">
        <f t="shared" ca="1" si="108"/>
        <v>0.4270000000000001</v>
      </c>
      <c r="T254" s="304">
        <f t="shared" ca="1" si="88"/>
        <v>4.1888700000000014</v>
      </c>
      <c r="U254" s="311">
        <f t="shared" ca="1" si="89"/>
        <v>0</v>
      </c>
      <c r="V254" s="306">
        <f t="shared" ca="1" si="90"/>
        <v>1.1892564551018701</v>
      </c>
      <c r="W254" s="304">
        <f t="shared" ca="1" si="91"/>
        <v>0.11566348469215001</v>
      </c>
      <c r="Y254" s="314" t="str">
        <f t="shared" ca="1" si="109"/>
        <v>Apogée</v>
      </c>
      <c r="Z254" s="315" t="str">
        <f t="shared" ca="1" si="110"/>
        <v/>
      </c>
      <c r="AA254" s="316" t="str">
        <f t="shared" ca="1" si="111"/>
        <v/>
      </c>
      <c r="AC254" s="310">
        <f t="shared" ca="1" si="112"/>
        <v>6.999999999999992</v>
      </c>
      <c r="AD254" s="323">
        <f t="shared" ca="1" si="113"/>
        <v>86.828118452377439</v>
      </c>
      <c r="AE254" s="324">
        <f t="shared" ca="1" si="92"/>
        <v>296.10396047690489</v>
      </c>
      <c r="AG254" s="306">
        <f t="shared" ca="1" si="114"/>
        <v>-2.076267416855293</v>
      </c>
      <c r="AH254" s="304">
        <f t="shared" ca="1" si="115"/>
        <v>-0.27993628898206746</v>
      </c>
    </row>
    <row r="255" spans="1:34" x14ac:dyDescent="0.3">
      <c r="A255" s="347">
        <f t="shared" ca="1" si="93"/>
        <v>0.1</v>
      </c>
      <c r="B255" s="304">
        <f t="shared" ca="1" si="94"/>
        <v>7.0999999999999917</v>
      </c>
      <c r="D255" s="306">
        <f t="shared" ca="1" si="95"/>
        <v>-0.26993310726648684</v>
      </c>
      <c r="E255" s="307">
        <f t="shared" ca="1" si="96"/>
        <v>-9.8325655758410075</v>
      </c>
      <c r="F255" s="304">
        <f t="shared" ca="1" si="97"/>
        <v>9.8362701104439054</v>
      </c>
      <c r="G255" s="306">
        <f t="shared" ca="1" si="98"/>
        <v>9.5283905492121495</v>
      </c>
      <c r="H255" s="307">
        <f t="shared" ca="1" si="99"/>
        <v>-0.1844559163255286</v>
      </c>
      <c r="I255" s="304">
        <f t="shared" ca="1" si="100"/>
        <v>9.5301757823968227</v>
      </c>
      <c r="J255" s="306">
        <f t="shared" ca="1" si="101"/>
        <v>87.78230717283499</v>
      </c>
      <c r="K255" s="307">
        <f t="shared" ca="1" si="102"/>
        <v>296.13467771315152</v>
      </c>
      <c r="L255" s="304">
        <f t="shared" ca="1" si="87"/>
        <v>308.87130134873019</v>
      </c>
      <c r="M255" s="306">
        <f t="shared" ca="1" si="103"/>
        <v>-1.9356141910736341E-2</v>
      </c>
      <c r="N255" s="304">
        <f t="shared" ca="1" si="104"/>
        <v>-1.1090252391414814</v>
      </c>
      <c r="P255" s="310">
        <f t="shared" ca="1" si="105"/>
        <v>23</v>
      </c>
      <c r="Q255" s="304">
        <f t="shared" ca="1" si="106"/>
        <v>0</v>
      </c>
      <c r="R255" s="306">
        <f t="shared" ca="1" si="107"/>
        <v>0</v>
      </c>
      <c r="S255" s="307">
        <f t="shared" ca="1" si="108"/>
        <v>0.4270000000000001</v>
      </c>
      <c r="T255" s="304">
        <f t="shared" ca="1" si="88"/>
        <v>4.1888700000000014</v>
      </c>
      <c r="U255" s="311">
        <f t="shared" ca="1" si="89"/>
        <v>0</v>
      </c>
      <c r="V255" s="306">
        <f t="shared" ca="1" si="90"/>
        <v>1.1892528012393457</v>
      </c>
      <c r="W255" s="304">
        <f t="shared" ca="1" si="91"/>
        <v>0.11425520583535939</v>
      </c>
      <c r="Y255" s="314" t="str">
        <f t="shared" ca="1" si="109"/>
        <v/>
      </c>
      <c r="Z255" s="315" t="str">
        <f t="shared" ca="1" si="110"/>
        <v/>
      </c>
      <c r="AA255" s="316" t="str">
        <f t="shared" ca="1" si="111"/>
        <v/>
      </c>
      <c r="AC255" s="310" t="e">
        <f t="shared" ca="1" si="112"/>
        <v>#N/A</v>
      </c>
      <c r="AD255" s="323" t="e">
        <f t="shared" ca="1" si="113"/>
        <v>#N/A</v>
      </c>
      <c r="AE255" s="324">
        <f t="shared" ca="1" si="92"/>
        <v>296.13467771315152</v>
      </c>
      <c r="AG255" s="306">
        <f t="shared" ca="1" si="114"/>
        <v>-1.0881098076738684</v>
      </c>
      <c r="AH255" s="304">
        <f t="shared" ca="1" si="115"/>
        <v>-0.27087467141018734</v>
      </c>
    </row>
    <row r="256" spans="1:34" x14ac:dyDescent="0.3">
      <c r="A256" s="347">
        <f t="shared" ca="1" si="93"/>
        <v>0.1</v>
      </c>
      <c r="B256" s="304">
        <f t="shared" ca="1" si="94"/>
        <v>7.1999999999999913</v>
      </c>
      <c r="D256" s="306">
        <f t="shared" ca="1" si="95"/>
        <v>-0.26752647087300457</v>
      </c>
      <c r="E256" s="307">
        <f t="shared" ca="1" si="96"/>
        <v>-9.8048210728694052</v>
      </c>
      <c r="F256" s="304">
        <f t="shared" ca="1" si="97"/>
        <v>9.8084701500081906</v>
      </c>
      <c r="G256" s="306">
        <f t="shared" ca="1" si="98"/>
        <v>9.5016379021248483</v>
      </c>
      <c r="H256" s="307">
        <f t="shared" ca="1" si="99"/>
        <v>-1.1649380236124691</v>
      </c>
      <c r="I256" s="304">
        <f t="shared" ca="1" si="100"/>
        <v>9.5727845176810291</v>
      </c>
      <c r="J256" s="306">
        <f t="shared" ca="1" si="101"/>
        <v>88.73380859540184</v>
      </c>
      <c r="K256" s="307">
        <f t="shared" ca="1" si="102"/>
        <v>296.06720801615461</v>
      </c>
      <c r="L256" s="304">
        <f t="shared" ca="1" si="87"/>
        <v>309.07843737525008</v>
      </c>
      <c r="M256" s="306">
        <f t="shared" ca="1" si="103"/>
        <v>-0.12199508268342334</v>
      </c>
      <c r="N256" s="304">
        <f t="shared" ca="1" si="104"/>
        <v>-6.9898033591096711</v>
      </c>
      <c r="P256" s="310">
        <f t="shared" ca="1" si="105"/>
        <v>23</v>
      </c>
      <c r="Q256" s="304">
        <f t="shared" ca="1" si="106"/>
        <v>0</v>
      </c>
      <c r="R256" s="306">
        <f t="shared" ca="1" si="107"/>
        <v>0</v>
      </c>
      <c r="S256" s="307">
        <f t="shared" ca="1" si="108"/>
        <v>0.4270000000000001</v>
      </c>
      <c r="T256" s="304">
        <f t="shared" ca="1" si="88"/>
        <v>4.1888700000000014</v>
      </c>
      <c r="U256" s="311">
        <f t="shared" ca="1" si="89"/>
        <v>0</v>
      </c>
      <c r="V256" s="306">
        <f t="shared" ca="1" si="90"/>
        <v>1.1892608268781706</v>
      </c>
      <c r="W256" s="304">
        <f t="shared" ca="1" si="91"/>
        <v>0.11527992139433983</v>
      </c>
      <c r="Y256" s="314" t="str">
        <f t="shared" ca="1" si="109"/>
        <v/>
      </c>
      <c r="Z256" s="315" t="str">
        <f t="shared" ca="1" si="110"/>
        <v/>
      </c>
      <c r="AA256" s="316" t="str">
        <f t="shared" ca="1" si="111"/>
        <v/>
      </c>
      <c r="AC256" s="310" t="e">
        <f t="shared" ca="1" si="112"/>
        <v>#N/A</v>
      </c>
      <c r="AD256" s="323" t="e">
        <f t="shared" ca="1" si="113"/>
        <v>#N/A</v>
      </c>
      <c r="AE256" s="324">
        <f t="shared" ca="1" si="92"/>
        <v>296.06720801615461</v>
      </c>
      <c r="AG256" s="306">
        <f t="shared" ca="1" si="114"/>
        <v>-7.7704699077459527E-2</v>
      </c>
      <c r="AH256" s="304">
        <f t="shared" ca="1" si="115"/>
        <v>-0.26757659446219989</v>
      </c>
    </row>
    <row r="257" spans="1:34" x14ac:dyDescent="0.3">
      <c r="A257" s="347">
        <f t="shared" ca="1" si="93"/>
        <v>0.1</v>
      </c>
      <c r="B257" s="304">
        <f t="shared" ca="1" si="94"/>
        <v>7.2999999999999909</v>
      </c>
      <c r="D257" s="306">
        <f t="shared" ca="1" si="95"/>
        <v>-0.26796988471874333</v>
      </c>
      <c r="E257" s="307">
        <f t="shared" ca="1" si="96"/>
        <v>-9.777145842526572</v>
      </c>
      <c r="F257" s="304">
        <f t="shared" ca="1" si="97"/>
        <v>9.7808173832840168</v>
      </c>
      <c r="G257" s="306">
        <f t="shared" ca="1" si="98"/>
        <v>9.4748409136529741</v>
      </c>
      <c r="H257" s="307">
        <f t="shared" ca="1" si="99"/>
        <v>-2.1426526078651262</v>
      </c>
      <c r="I257" s="304">
        <f t="shared" ca="1" si="100"/>
        <v>9.7140913387214738</v>
      </c>
      <c r="J257" s="306">
        <f t="shared" ca="1" si="101"/>
        <v>89.682632536190738</v>
      </c>
      <c r="K257" s="307">
        <f t="shared" ca="1" si="102"/>
        <v>295.90182848458073</v>
      </c>
      <c r="L257" s="304">
        <f t="shared" ca="1" si="87"/>
        <v>309.19389819195925</v>
      </c>
      <c r="M257" s="306">
        <f t="shared" ca="1" si="103"/>
        <v>-0.22240045878306777</v>
      </c>
      <c r="N257" s="304">
        <f t="shared" ca="1" si="104"/>
        <v>-12.742607650043004</v>
      </c>
      <c r="P257" s="310">
        <f t="shared" ca="1" si="105"/>
        <v>23</v>
      </c>
      <c r="Q257" s="304">
        <f t="shared" ca="1" si="106"/>
        <v>0</v>
      </c>
      <c r="R257" s="306">
        <f t="shared" ca="1" si="107"/>
        <v>0</v>
      </c>
      <c r="S257" s="307">
        <f t="shared" ca="1" si="108"/>
        <v>0.4270000000000001</v>
      </c>
      <c r="T257" s="304">
        <f t="shared" ca="1" si="88"/>
        <v>4.1888700000000014</v>
      </c>
      <c r="U257" s="311">
        <f t="shared" ca="1" si="89"/>
        <v>0</v>
      </c>
      <c r="V257" s="306">
        <f t="shared" ca="1" si="90"/>
        <v>1.1892804992892818</v>
      </c>
      <c r="W257" s="304">
        <f t="shared" ca="1" si="91"/>
        <v>0.1187103689536699</v>
      </c>
      <c r="Y257" s="314" t="str">
        <f t="shared" ca="1" si="109"/>
        <v/>
      </c>
      <c r="Z257" s="315" t="str">
        <f t="shared" ca="1" si="110"/>
        <v/>
      </c>
      <c r="AA257" s="316" t="str">
        <f t="shared" ca="1" si="111"/>
        <v/>
      </c>
      <c r="AC257" s="310" t="e">
        <f t="shared" ca="1" si="112"/>
        <v>#N/A</v>
      </c>
      <c r="AD257" s="323" t="e">
        <f t="shared" ca="1" si="113"/>
        <v>#N/A</v>
      </c>
      <c r="AE257" s="324">
        <f t="shared" ca="1" si="92"/>
        <v>295.90182848458073</v>
      </c>
      <c r="AG257" s="306">
        <f t="shared" ca="1" si="114"/>
        <v>0.92382902015164836</v>
      </c>
      <c r="AH257" s="304">
        <f t="shared" ca="1" si="115"/>
        <v>-0.26997639670805573</v>
      </c>
    </row>
    <row r="258" spans="1:34" x14ac:dyDescent="0.3">
      <c r="A258" s="347">
        <f t="shared" ca="1" si="93"/>
        <v>0.1</v>
      </c>
      <c r="B258" s="304">
        <f t="shared" ca="1" si="94"/>
        <v>7.3999999999999906</v>
      </c>
      <c r="D258" s="306">
        <f t="shared" ca="1" si="95"/>
        <v>-0.27116305851683437</v>
      </c>
      <c r="E258" s="307">
        <f t="shared" ca="1" si="96"/>
        <v>-9.7486788401216788</v>
      </c>
      <c r="F258" s="304">
        <f t="shared" ca="1" si="97"/>
        <v>9.752449360655012</v>
      </c>
      <c r="G258" s="306">
        <f t="shared" ca="1" si="98"/>
        <v>9.4477246078012911</v>
      </c>
      <c r="H258" s="307">
        <f t="shared" ca="1" si="99"/>
        <v>-3.1175204918772943</v>
      </c>
      <c r="I258" s="304">
        <f t="shared" ca="1" si="100"/>
        <v>9.9487905939430092</v>
      </c>
      <c r="J258" s="306">
        <f t="shared" ca="1" si="101"/>
        <v>90.628760812263451</v>
      </c>
      <c r="K258" s="307">
        <f t="shared" ca="1" si="102"/>
        <v>295.63881982959361</v>
      </c>
      <c r="L258" s="304">
        <f t="shared" ca="1" si="87"/>
        <v>309.21818199549875</v>
      </c>
      <c r="M258" s="306">
        <f t="shared" ca="1" si="103"/>
        <v>-0.31872573743032512</v>
      </c>
      <c r="N258" s="304">
        <f t="shared" ca="1" si="104"/>
        <v>-18.261639576952479</v>
      </c>
      <c r="P258" s="310">
        <f t="shared" ca="1" si="105"/>
        <v>23</v>
      </c>
      <c r="Q258" s="304">
        <f t="shared" ca="1" si="106"/>
        <v>0</v>
      </c>
      <c r="R258" s="306">
        <f t="shared" ca="1" si="107"/>
        <v>0</v>
      </c>
      <c r="S258" s="307">
        <f t="shared" ca="1" si="108"/>
        <v>0.4270000000000001</v>
      </c>
      <c r="T258" s="304">
        <f t="shared" ca="1" si="88"/>
        <v>4.1888700000000014</v>
      </c>
      <c r="U258" s="311">
        <f t="shared" ca="1" si="89"/>
        <v>0</v>
      </c>
      <c r="V258" s="306">
        <f t="shared" ca="1" si="90"/>
        <v>1.1893117856494952</v>
      </c>
      <c r="W258" s="304">
        <f t="shared" ca="1" si="91"/>
        <v>0.12451919194992973</v>
      </c>
      <c r="Y258" s="314" t="str">
        <f t="shared" ca="1" si="109"/>
        <v/>
      </c>
      <c r="Z258" s="315" t="str">
        <f t="shared" ca="1" si="110"/>
        <v/>
      </c>
      <c r="AA258" s="316" t="str">
        <f t="shared" ca="1" si="111"/>
        <v/>
      </c>
      <c r="AC258" s="310" t="e">
        <f t="shared" ca="1" si="112"/>
        <v>#N/A</v>
      </c>
      <c r="AD258" s="323" t="e">
        <f t="shared" ca="1" si="113"/>
        <v>#N/A</v>
      </c>
      <c r="AE258" s="324">
        <f t="shared" ca="1" si="92"/>
        <v>295.63881982959361</v>
      </c>
      <c r="AG258" s="306">
        <f t="shared" ca="1" si="114"/>
        <v>1.885797102390717</v>
      </c>
      <c r="AH258" s="304">
        <f t="shared" ca="1" si="115"/>
        <v>-0.27801023174161565</v>
      </c>
    </row>
    <row r="259" spans="1:34" x14ac:dyDescent="0.3">
      <c r="A259" s="347">
        <f t="shared" ca="1" si="93"/>
        <v>0.1</v>
      </c>
      <c r="B259" s="304">
        <f t="shared" ca="1" si="94"/>
        <v>7.4999999999999902</v>
      </c>
      <c r="D259" s="306">
        <f t="shared" ca="1" si="95"/>
        <v>-0.27692703413722736</v>
      </c>
      <c r="E259" s="307">
        <f t="shared" ca="1" si="96"/>
        <v>-9.718620780186086</v>
      </c>
      <c r="F259" s="304">
        <f t="shared" ca="1" si="97"/>
        <v>9.7225654254060352</v>
      </c>
      <c r="G259" s="306">
        <f t="shared" ca="1" si="98"/>
        <v>9.4200319043875691</v>
      </c>
      <c r="H259" s="307">
        <f t="shared" ca="1" si="99"/>
        <v>-4.0893825698959034</v>
      </c>
      <c r="I259" s="304">
        <f t="shared" ca="1" si="100"/>
        <v>10.269374415350145</v>
      </c>
      <c r="J259" s="306">
        <f t="shared" ca="1" si="101"/>
        <v>91.5721486378729</v>
      </c>
      <c r="K259" s="307">
        <f t="shared" ca="1" si="102"/>
        <v>295.27847467650497</v>
      </c>
      <c r="L259" s="304">
        <f t="shared" ca="1" si="87"/>
        <v>309.15180092220078</v>
      </c>
      <c r="M259" s="306">
        <f t="shared" ca="1" si="103"/>
        <v>-0.40956621702116691</v>
      </c>
      <c r="N259" s="304">
        <f t="shared" ca="1" si="104"/>
        <v>-23.466415666452004</v>
      </c>
      <c r="P259" s="310">
        <f t="shared" ca="1" si="105"/>
        <v>23</v>
      </c>
      <c r="Q259" s="304">
        <f t="shared" ca="1" si="106"/>
        <v>0</v>
      </c>
      <c r="R259" s="306">
        <f t="shared" ca="1" si="107"/>
        <v>0</v>
      </c>
      <c r="S259" s="307">
        <f t="shared" ca="1" si="108"/>
        <v>0.4270000000000001</v>
      </c>
      <c r="T259" s="304">
        <f t="shared" ca="1" si="88"/>
        <v>4.1888700000000014</v>
      </c>
      <c r="U259" s="311">
        <f t="shared" ca="1" si="89"/>
        <v>0</v>
      </c>
      <c r="V259" s="306">
        <f t="shared" ca="1" si="90"/>
        <v>1.189354652050717</v>
      </c>
      <c r="W259" s="304">
        <f t="shared" ca="1" si="91"/>
        <v>0.1326781305850499</v>
      </c>
      <c r="Y259" s="314" t="str">
        <f t="shared" ca="1" si="109"/>
        <v/>
      </c>
      <c r="Z259" s="315" t="str">
        <f t="shared" ca="1" si="110"/>
        <v/>
      </c>
      <c r="AA259" s="316" t="str">
        <f t="shared" ca="1" si="111"/>
        <v/>
      </c>
      <c r="AC259" s="310" t="e">
        <f t="shared" ca="1" si="112"/>
        <v>#N/A</v>
      </c>
      <c r="AD259" s="323" t="e">
        <f t="shared" ca="1" si="113"/>
        <v>#N/A</v>
      </c>
      <c r="AE259" s="324">
        <f t="shared" ca="1" si="92"/>
        <v>295.27847467650497</v>
      </c>
      <c r="AG259" s="306">
        <f t="shared" ca="1" si="114"/>
        <v>2.7824154924804603</v>
      </c>
      <c r="AH259" s="304">
        <f t="shared" ca="1" si="115"/>
        <v>-0.2916140326696246</v>
      </c>
    </row>
    <row r="260" spans="1:34" x14ac:dyDescent="0.3">
      <c r="A260" s="347">
        <f t="shared" ca="1" si="93"/>
        <v>0.1</v>
      </c>
      <c r="B260" s="304">
        <f t="shared" ca="1" si="94"/>
        <v>7.5999999999999899</v>
      </c>
      <c r="D260" s="306">
        <f t="shared" ca="1" si="95"/>
        <v>-0.28502296536471911</v>
      </c>
      <c r="E260" s="307">
        <f t="shared" ca="1" si="96"/>
        <v>-9.6862670914055364</v>
      </c>
      <c r="F260" s="304">
        <f t="shared" ca="1" si="97"/>
        <v>9.6904596514732546</v>
      </c>
      <c r="G260" s="306">
        <f t="shared" ca="1" si="98"/>
        <v>9.3915296078510977</v>
      </c>
      <c r="H260" s="307">
        <f t="shared" ca="1" si="99"/>
        <v>-5.0580092790364573</v>
      </c>
      <c r="I260" s="304">
        <f t="shared" ca="1" si="100"/>
        <v>10.666971746562503</v>
      </c>
      <c r="J260" s="306">
        <f t="shared" ca="1" si="101"/>
        <v>92.512726713484838</v>
      </c>
      <c r="K260" s="307">
        <f t="shared" ca="1" si="102"/>
        <v>294.82110508405833</v>
      </c>
      <c r="L260" s="304">
        <f t="shared" ref="L260:L323" ca="1" si="116">SQRT(pos_x^2+pos_z^2)</f>
        <v>308.99528897209632</v>
      </c>
      <c r="M260" s="306">
        <f t="shared" ca="1" si="103"/>
        <v>-0.49402653537939273</v>
      </c>
      <c r="N260" s="304">
        <f t="shared" ca="1" si="104"/>
        <v>-28.305635444709651</v>
      </c>
      <c r="P260" s="310">
        <f t="shared" ca="1" si="105"/>
        <v>23</v>
      </c>
      <c r="Q260" s="304">
        <f t="shared" ca="1" si="106"/>
        <v>0</v>
      </c>
      <c r="R260" s="306">
        <f t="shared" ca="1" si="107"/>
        <v>0</v>
      </c>
      <c r="S260" s="307">
        <f t="shared" ca="1" si="108"/>
        <v>0.4270000000000001</v>
      </c>
      <c r="T260" s="304">
        <f t="shared" ref="T260:T323" ca="1" si="117">m*g</f>
        <v>4.1888700000000014</v>
      </c>
      <c r="U260" s="311">
        <f t="shared" ref="U260:U323" ca="1" si="118">IF(pos_xz&lt;L_rampe,Poids*COS(Beta),0)</f>
        <v>0</v>
      </c>
      <c r="V260" s="306">
        <f t="shared" ref="V260:V323" ca="1" si="119">Rho_moyen*(20000-Alt_rampe-pos_z)/(20000+Alt_rampe+pos_z)</f>
        <v>1.1894090626019367</v>
      </c>
      <c r="W260" s="304">
        <f t="shared" ref="W260:W323" ca="1" si="120">1/2*Rho*Sref*Cx*vit_xz^2</f>
        <v>0.14315730842923832</v>
      </c>
      <c r="Y260" s="314" t="str">
        <f t="shared" ca="1" si="109"/>
        <v/>
      </c>
      <c r="Z260" s="315" t="str">
        <f t="shared" ca="1" si="110"/>
        <v/>
      </c>
      <c r="AA260" s="316" t="str">
        <f t="shared" ca="1" si="111"/>
        <v/>
      </c>
      <c r="AC260" s="310" t="e">
        <f t="shared" ca="1" si="112"/>
        <v>#N/A</v>
      </c>
      <c r="AD260" s="323" t="e">
        <f t="shared" ca="1" si="113"/>
        <v>#N/A</v>
      </c>
      <c r="AE260" s="324">
        <f t="shared" ref="AE260:AE323" ca="1" si="121">IF(t&lt;T_para, pos_z, NA())</f>
        <v>294.82110508405833</v>
      </c>
      <c r="AG260" s="306">
        <f t="shared" ca="1" si="114"/>
        <v>3.5957327963947119</v>
      </c>
      <c r="AH260" s="304">
        <f t="shared" ca="1" si="115"/>
        <v>-0.31072161729519876</v>
      </c>
    </row>
    <row r="261" spans="1:34" x14ac:dyDescent="0.3">
      <c r="A261" s="347">
        <f t="shared" ref="A261:A324" ca="1" si="122">IF(B260+0.01&lt;=T_ini+ROUNDUP(Temps_fin_propu,0), 0.01, IF(K260&gt;0, 0.1, 0.0001))</f>
        <v>0.1</v>
      </c>
      <c r="B261" s="304">
        <f t="shared" ref="B261:B324" ca="1" si="123">B260+pas</f>
        <v>7.6999999999999895</v>
      </c>
      <c r="D261" s="306">
        <f t="shared" ref="D261:D324" ca="1" si="124">IF(AND(L260&lt;L_rampe,Poussee&lt;Poids*SIN(M260)),0,(-W260+Poussee)/m*COS(M260)-U260/m*SIN(M260))</f>
        <v>-0.2951758595715705</v>
      </c>
      <c r="E261" s="307">
        <f t="shared" ref="E261:E324" ca="1" si="125">IF(AND(L260&lt;L_rampe,Poussee&lt;Poids*SIN(M260)),0,(-W260+Poussee)/m*SIN(M260)+U260/m*COS(M260)-Poids/m)</f>
        <v>-9.6510267231216051</v>
      </c>
      <c r="F261" s="304">
        <f t="shared" ref="F261:F324" ca="1" si="126">SQRT(acc_x^2+acc_z^2)</f>
        <v>9.6555396326917506</v>
      </c>
      <c r="G261" s="306">
        <f t="shared" ref="G261:G324" ca="1" si="127">G260+acc_x*pas</f>
        <v>9.3620120218939409</v>
      </c>
      <c r="H261" s="307">
        <f t="shared" ref="H261:H324" ca="1" si="128">H260+acc_z*pas</f>
        <v>-6.0231119513486178</v>
      </c>
      <c r="I261" s="304">
        <f t="shared" ref="I261:I324" ca="1" si="129">SQRT(vit_x^2+vit_z^2)</f>
        <v>11.132167204842247</v>
      </c>
      <c r="J261" s="306">
        <f t="shared" ref="J261:J324" ca="1" si="130">J260+0.5*(vit_x+G260)*pas*(K260&gt;=0)</f>
        <v>93.45040379497209</v>
      </c>
      <c r="K261" s="307">
        <f t="shared" ref="K261:K324" ca="1" si="131">K260+0.5*(vit_z+H260)*pas</f>
        <v>294.26704902253908</v>
      </c>
      <c r="L261" s="304">
        <f t="shared" ca="1" si="116"/>
        <v>308.74920908380761</v>
      </c>
      <c r="M261" s="306">
        <f t="shared" ref="M261:M324" ca="1" si="132">IF(AND(L260&gt;L_rampe,G261&gt;0),ATAN2(G261,H261),$M$4)</f>
        <v>-0.57169078548020891</v>
      </c>
      <c r="N261" s="304">
        <f t="shared" ref="N261:N324" ca="1" si="133">DEGREES(Beta)</f>
        <v>-32.755469194534896</v>
      </c>
      <c r="P261" s="310">
        <f t="shared" ref="P261:P324" ca="1" si="134">MATCH(t-pas/2-T_ini,CdP_t)</f>
        <v>23</v>
      </c>
      <c r="Q261" s="304">
        <f t="shared" ref="Q261:Q324" ca="1" si="135">(INDEX(CdP,2,i_P+1)-INDEX(CdP,2,i_P+0))/(INDEX(CdP,1,i_P+1)-INDEX(CdP,1,i_P+0))*(t-pas/2-T_ini-INDEX(CdP,1,i_P+0))+INDEX(CdP,2,i_P+0)</f>
        <v>0</v>
      </c>
      <c r="R261" s="306">
        <f t="shared" ref="R261:R324" ca="1" si="136">Poussee/(g*ISP)</f>
        <v>0</v>
      </c>
      <c r="S261" s="307">
        <f t="shared" ref="S261:S324" ca="1" si="137">S260-Débit*pas</f>
        <v>0.4270000000000001</v>
      </c>
      <c r="T261" s="304">
        <f t="shared" ca="1" si="117"/>
        <v>4.1888700000000014</v>
      </c>
      <c r="U261" s="311">
        <f t="shared" ca="1" si="118"/>
        <v>0</v>
      </c>
      <c r="V261" s="306">
        <f t="shared" ca="1" si="119"/>
        <v>1.1894749786546273</v>
      </c>
      <c r="W261" s="304">
        <f t="shared" ca="1" si="120"/>
        <v>0.15592463784423571</v>
      </c>
      <c r="Y261" s="314" t="str">
        <f t="shared" ref="Y261:Y324" ca="1" si="138">IF(AND(pos_z&lt;=0,K260&gt;0),"Impact balistique","") &amp; IF(AND(H262&lt;0,vit_z&gt;=0),"Apogée","") &amp; IF(AND(Poussee=0,Q260&gt;0),"Fin de propulsion","") &amp; IF(AND(L262&gt;L_rampe,pos_xz&lt;=L_rampe),"Sortie de rampe","")</f>
        <v/>
      </c>
      <c r="Z261" s="315" t="str">
        <f t="shared" ref="Z261:Z324" ca="1" si="139">IF(ABS(t-T_para)&lt;pas/2,"Para","")</f>
        <v/>
      </c>
      <c r="AA261" s="316" t="str">
        <f t="shared" ref="AA261:AA324" ca="1" si="140">IF(ABS(t-T_satellite)&lt;pas/2,"Satellite","")</f>
        <v/>
      </c>
      <c r="AC261" s="310" t="e">
        <f t="shared" ref="AC261:AC324" ca="1" si="141">IF(ABS(t-ROUND(t,0))&lt;0.001,t,NA())</f>
        <v>#N/A</v>
      </c>
      <c r="AD261" s="323" t="e">
        <f t="shared" ref="AD261:AD324" ca="1" si="142">IF(ABS(t-ROUND(t,0))&lt;0.001,pos_x,NA())</f>
        <v>#N/A</v>
      </c>
      <c r="AE261" s="324">
        <f t="shared" ca="1" si="121"/>
        <v>294.26704902253908</v>
      </c>
      <c r="AG261" s="306">
        <f t="shared" ref="AG261:AG324" ca="1" si="143">IF(AND(L260&lt;L_rampe,Poussee&lt;Poids*SIN(M260)),0,(-W260+Poussee)/m-Poids*SIN(M260)/m)</f>
        <v>4.3163918483168544</v>
      </c>
      <c r="AH261" s="304">
        <f t="shared" ref="AH261:AH324" ca="1" si="144">IF(AND(L260&lt;L_rampe,Poussee&lt;Poids*SIN(M260)), g*SIN(M260), (-W260+Poussee)/m)</f>
        <v>-0.33526301739868453</v>
      </c>
    </row>
    <row r="262" spans="1:34" x14ac:dyDescent="0.3">
      <c r="A262" s="347">
        <f t="shared" ca="1" si="122"/>
        <v>0.1</v>
      </c>
      <c r="B262" s="304">
        <f t="shared" ca="1" si="123"/>
        <v>7.7999999999999892</v>
      </c>
      <c r="D262" s="306">
        <f t="shared" ca="1" si="124"/>
        <v>-0.30709754361907865</v>
      </c>
      <c r="E262" s="307">
        <f t="shared" ca="1" si="125"/>
        <v>-9.6124267773982535</v>
      </c>
      <c r="F262" s="304">
        <f t="shared" ca="1" si="126"/>
        <v>9.6173310981862237</v>
      </c>
      <c r="G262" s="306">
        <f t="shared" ca="1" si="127"/>
        <v>9.331302267532033</v>
      </c>
      <c r="H262" s="307">
        <f t="shared" ca="1" si="128"/>
        <v>-6.9843546290884433</v>
      </c>
      <c r="I262" s="304">
        <f t="shared" ca="1" si="129"/>
        <v>11.655660066805209</v>
      </c>
      <c r="J262" s="306">
        <f t="shared" ca="1" si="130"/>
        <v>94.385069509443383</v>
      </c>
      <c r="K262" s="307">
        <f t="shared" ca="1" si="131"/>
        <v>293.61667569351721</v>
      </c>
      <c r="L262" s="304">
        <f t="shared" ca="1" si="116"/>
        <v>308.41415919444188</v>
      </c>
      <c r="M262" s="306">
        <f t="shared" ca="1" si="132"/>
        <v>-0.64253182357453542</v>
      </c>
      <c r="N262" s="304">
        <f t="shared" ca="1" si="133"/>
        <v>-36.81436169366529</v>
      </c>
      <c r="P262" s="310">
        <f t="shared" ca="1" si="134"/>
        <v>23</v>
      </c>
      <c r="Q262" s="304">
        <f t="shared" ca="1" si="135"/>
        <v>0</v>
      </c>
      <c r="R262" s="306">
        <f t="shared" ca="1" si="136"/>
        <v>0</v>
      </c>
      <c r="S262" s="307">
        <f t="shared" ca="1" si="137"/>
        <v>0.4270000000000001</v>
      </c>
      <c r="T262" s="304">
        <f t="shared" ca="1" si="117"/>
        <v>4.1888700000000014</v>
      </c>
      <c r="U262" s="311">
        <f t="shared" ca="1" si="118"/>
        <v>0</v>
      </c>
      <c r="V262" s="306">
        <f t="shared" ca="1" si="119"/>
        <v>1.1895523581653771</v>
      </c>
      <c r="W262" s="304">
        <f t="shared" ca="1" si="120"/>
        <v>0.17094535311706788</v>
      </c>
      <c r="Y262" s="314" t="str">
        <f t="shared" ca="1" si="138"/>
        <v/>
      </c>
      <c r="Z262" s="315" t="str">
        <f t="shared" ca="1" si="139"/>
        <v/>
      </c>
      <c r="AA262" s="316" t="str">
        <f t="shared" ca="1" si="140"/>
        <v/>
      </c>
      <c r="AC262" s="310" t="e">
        <f t="shared" ca="1" si="141"/>
        <v>#N/A</v>
      </c>
      <c r="AD262" s="323" t="e">
        <f t="shared" ca="1" si="142"/>
        <v>#N/A</v>
      </c>
      <c r="AE262" s="324">
        <f t="shared" ca="1" si="121"/>
        <v>293.61667569351721</v>
      </c>
      <c r="AG262" s="306">
        <f t="shared" ca="1" si="143"/>
        <v>4.9425840177123623</v>
      </c>
      <c r="AH262" s="304">
        <f t="shared" ca="1" si="144"/>
        <v>-0.3651630862862662</v>
      </c>
    </row>
    <row r="263" spans="1:34" x14ac:dyDescent="0.3">
      <c r="A263" s="347">
        <f t="shared" ca="1" si="122"/>
        <v>0.1</v>
      </c>
      <c r="B263" s="304">
        <f t="shared" ca="1" si="123"/>
        <v>7.8999999999999888</v>
      </c>
      <c r="D263" s="306">
        <f t="shared" ca="1" si="124"/>
        <v>-0.32050500027699397</v>
      </c>
      <c r="E263" s="307">
        <f t="shared" ca="1" si="125"/>
        <v>-9.5701063047631116</v>
      </c>
      <c r="F263" s="304">
        <f t="shared" ca="1" si="126"/>
        <v>9.5754716928028767</v>
      </c>
      <c r="G263" s="306">
        <f t="shared" ca="1" si="127"/>
        <v>9.2992517675043338</v>
      </c>
      <c r="H263" s="307">
        <f t="shared" ca="1" si="128"/>
        <v>-7.9413652595647548</v>
      </c>
      <c r="I263" s="304">
        <f t="shared" ca="1" si="129"/>
        <v>12.228710709688674</v>
      </c>
      <c r="J263" s="306">
        <f t="shared" ca="1" si="130"/>
        <v>95.316597211195202</v>
      </c>
      <c r="K263" s="307">
        <f t="shared" ca="1" si="131"/>
        <v>292.87038969908457</v>
      </c>
      <c r="L263" s="304">
        <f t="shared" ca="1" si="116"/>
        <v>307.99077724246047</v>
      </c>
      <c r="M263" s="306">
        <f t="shared" ca="1" si="132"/>
        <v>-0.70679951886458359</v>
      </c>
      <c r="N263" s="304">
        <f t="shared" ca="1" si="133"/>
        <v>-40.496629392817852</v>
      </c>
      <c r="P263" s="310">
        <f t="shared" ca="1" si="134"/>
        <v>23</v>
      </c>
      <c r="Q263" s="304">
        <f t="shared" ca="1" si="135"/>
        <v>0</v>
      </c>
      <c r="R263" s="306">
        <f t="shared" ca="1" si="136"/>
        <v>0</v>
      </c>
      <c r="S263" s="307">
        <f t="shared" ca="1" si="137"/>
        <v>0.4270000000000001</v>
      </c>
      <c r="T263" s="304">
        <f t="shared" ca="1" si="117"/>
        <v>4.1888700000000014</v>
      </c>
      <c r="U263" s="311">
        <f t="shared" ca="1" si="118"/>
        <v>0</v>
      </c>
      <c r="V263" s="306">
        <f t="shared" ca="1" si="119"/>
        <v>1.1896411551947337</v>
      </c>
      <c r="W263" s="304">
        <f t="shared" ca="1" si="120"/>
        <v>0.18818166811270765</v>
      </c>
      <c r="Y263" s="314" t="str">
        <f t="shared" ca="1" si="138"/>
        <v/>
      </c>
      <c r="Z263" s="315" t="str">
        <f t="shared" ca="1" si="139"/>
        <v/>
      </c>
      <c r="AA263" s="316" t="str">
        <f t="shared" ca="1" si="140"/>
        <v/>
      </c>
      <c r="AC263" s="310" t="e">
        <f t="shared" ca="1" si="141"/>
        <v>#N/A</v>
      </c>
      <c r="AD263" s="323" t="e">
        <f t="shared" ca="1" si="142"/>
        <v>#N/A</v>
      </c>
      <c r="AE263" s="324">
        <f t="shared" ca="1" si="121"/>
        <v>292.87038969908457</v>
      </c>
      <c r="AG263" s="306">
        <f t="shared" ca="1" si="143"/>
        <v>5.4780498803790074</v>
      </c>
      <c r="AH263" s="304">
        <f t="shared" ca="1" si="144"/>
        <v>-0.40034040542638838</v>
      </c>
    </row>
    <row r="264" spans="1:34" x14ac:dyDescent="0.3">
      <c r="A264" s="347">
        <f t="shared" ca="1" si="122"/>
        <v>0.1</v>
      </c>
      <c r="B264" s="304">
        <f t="shared" ca="1" si="123"/>
        <v>7.9999999999999885</v>
      </c>
      <c r="D264" s="306">
        <f t="shared" ca="1" si="124"/>
        <v>-0.33513267551152487</v>
      </c>
      <c r="E264" s="307">
        <f t="shared" ca="1" si="125"/>
        <v>-9.5238037496788355</v>
      </c>
      <c r="F264" s="304">
        <f t="shared" ca="1" si="126"/>
        <v>9.5296984093197921</v>
      </c>
      <c r="G264" s="306">
        <f t="shared" ca="1" si="127"/>
        <v>9.2657384999531818</v>
      </c>
      <c r="H264" s="307">
        <f t="shared" ca="1" si="128"/>
        <v>-8.8937456345326389</v>
      </c>
      <c r="I264" s="304">
        <f t="shared" ca="1" si="129"/>
        <v>12.843388235247078</v>
      </c>
      <c r="J264" s="306">
        <f t="shared" ca="1" si="130"/>
        <v>96.244846724568077</v>
      </c>
      <c r="K264" s="307">
        <f t="shared" ca="1" si="131"/>
        <v>292.02863415437969</v>
      </c>
      <c r="L264" s="304">
        <f t="shared" ca="1" si="116"/>
        <v>307.47974516560947</v>
      </c>
      <c r="M264" s="306">
        <f t="shared" ca="1" si="132"/>
        <v>-0.76491625746011838</v>
      </c>
      <c r="N264" s="304">
        <f t="shared" ca="1" si="133"/>
        <v>-43.826473233407057</v>
      </c>
      <c r="P264" s="310">
        <f t="shared" ca="1" si="134"/>
        <v>23</v>
      </c>
      <c r="Q264" s="304">
        <f t="shared" ca="1" si="135"/>
        <v>0</v>
      </c>
      <c r="R264" s="306">
        <f t="shared" ca="1" si="136"/>
        <v>0</v>
      </c>
      <c r="S264" s="307">
        <f t="shared" ca="1" si="137"/>
        <v>0.4270000000000001</v>
      </c>
      <c r="T264" s="304">
        <f t="shared" ca="1" si="117"/>
        <v>4.1888700000000014</v>
      </c>
      <c r="U264" s="311">
        <f t="shared" ca="1" si="118"/>
        <v>0</v>
      </c>
      <c r="V264" s="306">
        <f t="shared" ca="1" si="119"/>
        <v>1.1897413195310602</v>
      </c>
      <c r="W264" s="304">
        <f t="shared" ca="1" si="120"/>
        <v>0.20759254729001075</v>
      </c>
      <c r="Y264" s="314" t="str">
        <f t="shared" ca="1" si="138"/>
        <v/>
      </c>
      <c r="Z264" s="315" t="str">
        <f t="shared" ca="1" si="139"/>
        <v>Para</v>
      </c>
      <c r="AA264" s="316" t="str">
        <f t="shared" ca="1" si="140"/>
        <v/>
      </c>
      <c r="AC264" s="310">
        <f t="shared" ca="1" si="141"/>
        <v>7.9999999999999885</v>
      </c>
      <c r="AD264" s="323">
        <f t="shared" ca="1" si="142"/>
        <v>96.244846724568077</v>
      </c>
      <c r="AE264" s="324">
        <f t="shared" ca="1" si="121"/>
        <v>292.02863415437969</v>
      </c>
      <c r="AG264" s="306">
        <f t="shared" ca="1" si="143"/>
        <v>5.9299400266341902</v>
      </c>
      <c r="AH264" s="304">
        <f t="shared" ca="1" si="144"/>
        <v>-0.44070648269954943</v>
      </c>
    </row>
    <row r="265" spans="1:34" x14ac:dyDescent="0.3">
      <c r="A265" s="347">
        <f t="shared" ca="1" si="122"/>
        <v>0.1</v>
      </c>
      <c r="B265" s="304">
        <f t="shared" ca="1" si="123"/>
        <v>8.099999999999989</v>
      </c>
      <c r="D265" s="306">
        <f t="shared" ca="1" si="124"/>
        <v>-0.35073920354798072</v>
      </c>
      <c r="E265" s="307">
        <f t="shared" ca="1" si="125"/>
        <v>-9.4733419710225935</v>
      </c>
      <c r="F265" s="304">
        <f t="shared" ca="1" si="126"/>
        <v>9.4798325981445313</v>
      </c>
      <c r="G265" s="306">
        <f t="shared" ca="1" si="127"/>
        <v>9.2306645795983844</v>
      </c>
      <c r="H265" s="307">
        <f t="shared" ca="1" si="128"/>
        <v>-9.8410798316348984</v>
      </c>
      <c r="I265" s="304">
        <f t="shared" ca="1" si="129"/>
        <v>13.492665445851067</v>
      </c>
      <c r="J265" s="306">
        <f t="shared" ca="1" si="130"/>
        <v>97.169666878545655</v>
      </c>
      <c r="K265" s="307">
        <f t="shared" ca="1" si="131"/>
        <v>291.09189288107132</v>
      </c>
      <c r="L265" s="304">
        <f t="shared" ca="1" si="116"/>
        <v>306.88179200202256</v>
      </c>
      <c r="M265" s="306">
        <f t="shared" ca="1" si="132"/>
        <v>-0.8173935032190599</v>
      </c>
      <c r="N265" s="304">
        <f t="shared" ca="1" si="133"/>
        <v>-46.833197935865201</v>
      </c>
      <c r="P265" s="310">
        <f t="shared" ca="1" si="134"/>
        <v>23</v>
      </c>
      <c r="Q265" s="304">
        <f t="shared" ca="1" si="135"/>
        <v>0</v>
      </c>
      <c r="R265" s="306">
        <f t="shared" ca="1" si="136"/>
        <v>0</v>
      </c>
      <c r="S265" s="307">
        <f t="shared" ca="1" si="137"/>
        <v>0.4270000000000001</v>
      </c>
      <c r="T265" s="304">
        <f t="shared" ca="1" si="117"/>
        <v>4.1888700000000014</v>
      </c>
      <c r="U265" s="311">
        <f t="shared" ca="1" si="118"/>
        <v>0</v>
      </c>
      <c r="V265" s="306">
        <f t="shared" ca="1" si="119"/>
        <v>1.1898527964230039</v>
      </c>
      <c r="W265" s="304">
        <f t="shared" ca="1" si="120"/>
        <v>0.22913357510460916</v>
      </c>
      <c r="Y265" s="314" t="str">
        <f t="shared" ca="1" si="138"/>
        <v/>
      </c>
      <c r="Z265" s="315" t="str">
        <f t="shared" ca="1" si="139"/>
        <v/>
      </c>
      <c r="AA265" s="316" t="str">
        <f t="shared" ca="1" si="140"/>
        <v/>
      </c>
      <c r="AC265" s="310" t="e">
        <f t="shared" ca="1" si="141"/>
        <v>#N/A</v>
      </c>
      <c r="AD265" s="323" t="e">
        <f t="shared" ca="1" si="142"/>
        <v>#N/A</v>
      </c>
      <c r="AE265" s="324" t="e">
        <f t="shared" ca="1" si="121"/>
        <v>#N/A</v>
      </c>
      <c r="AG265" s="306">
        <f t="shared" ca="1" si="143"/>
        <v>6.3070300900159051</v>
      </c>
      <c r="AH265" s="304">
        <f t="shared" ca="1" si="144"/>
        <v>-0.48616521613585645</v>
      </c>
    </row>
    <row r="266" spans="1:34" x14ac:dyDescent="0.3">
      <c r="A266" s="347">
        <f t="shared" ca="1" si="122"/>
        <v>0.1</v>
      </c>
      <c r="B266" s="304">
        <f t="shared" ca="1" si="123"/>
        <v>8.1999999999999886</v>
      </c>
      <c r="D266" s="306">
        <f t="shared" ca="1" si="124"/>
        <v>-0.36710988125476662</v>
      </c>
      <c r="E266" s="307">
        <f t="shared" ca="1" si="125"/>
        <v>-9.4186134841910434</v>
      </c>
      <c r="F266" s="304">
        <f t="shared" ca="1" si="126"/>
        <v>9.4257652012714708</v>
      </c>
      <c r="G266" s="306">
        <f t="shared" ca="1" si="127"/>
        <v>9.1939535914729085</v>
      </c>
      <c r="H266" s="307">
        <f t="shared" ca="1" si="128"/>
        <v>-10.782941180054003</v>
      </c>
      <c r="I266" s="304">
        <f t="shared" ca="1" si="129"/>
        <v>14.170412948628632</v>
      </c>
      <c r="J266" s="306">
        <f t="shared" ca="1" si="130"/>
        <v>98.090897787099223</v>
      </c>
      <c r="K266" s="307">
        <f t="shared" ca="1" si="131"/>
        <v>290.06069183048686</v>
      </c>
      <c r="L266" s="304">
        <f t="shared" ca="1" si="116"/>
        <v>306.19769622559181</v>
      </c>
      <c r="M266" s="306">
        <f t="shared" ca="1" si="132"/>
        <v>-0.86477232010920468</v>
      </c>
      <c r="N266" s="304">
        <f t="shared" ca="1" si="133"/>
        <v>-49.547804181993641</v>
      </c>
      <c r="P266" s="310">
        <f t="shared" ca="1" si="134"/>
        <v>23</v>
      </c>
      <c r="Q266" s="304">
        <f t="shared" ca="1" si="135"/>
        <v>0</v>
      </c>
      <c r="R266" s="306">
        <f t="shared" ca="1" si="136"/>
        <v>0</v>
      </c>
      <c r="S266" s="307">
        <f t="shared" ca="1" si="137"/>
        <v>0.4270000000000001</v>
      </c>
      <c r="T266" s="304">
        <f t="shared" ca="1" si="117"/>
        <v>4.1888700000000014</v>
      </c>
      <c r="U266" s="311">
        <f t="shared" ca="1" si="118"/>
        <v>0</v>
      </c>
      <c r="V266" s="306">
        <f t="shared" ca="1" si="119"/>
        <v>1.1899755264028942</v>
      </c>
      <c r="W266" s="304">
        <f t="shared" ca="1" si="120"/>
        <v>0.25275690809529888</v>
      </c>
      <c r="Y266" s="314" t="str">
        <f t="shared" ca="1" si="138"/>
        <v/>
      </c>
      <c r="Z266" s="315" t="str">
        <f t="shared" ca="1" si="139"/>
        <v/>
      </c>
      <c r="AA266" s="316" t="str">
        <f t="shared" ca="1" si="140"/>
        <v/>
      </c>
      <c r="AC266" s="310" t="e">
        <f t="shared" ca="1" si="141"/>
        <v>#N/A</v>
      </c>
      <c r="AD266" s="323" t="e">
        <f t="shared" ca="1" si="142"/>
        <v>#N/A</v>
      </c>
      <c r="AE266" s="324" t="e">
        <f t="shared" ca="1" si="121"/>
        <v>#N/A</v>
      </c>
      <c r="AG266" s="306">
        <f t="shared" ca="1" si="143"/>
        <v>6.6184594424208143</v>
      </c>
      <c r="AH266" s="304">
        <f t="shared" ca="1" si="144"/>
        <v>-0.5366125880670003</v>
      </c>
    </row>
    <row r="267" spans="1:34" x14ac:dyDescent="0.3">
      <c r="A267" s="347">
        <f t="shared" ca="1" si="122"/>
        <v>0.1</v>
      </c>
      <c r="B267" s="304">
        <f t="shared" ca="1" si="123"/>
        <v>8.2999999999999883</v>
      </c>
      <c r="D267" s="306">
        <f t="shared" ca="1" si="124"/>
        <v>-0.38405635857890974</v>
      </c>
      <c r="E267" s="307">
        <f t="shared" ca="1" si="125"/>
        <v>-9.359567323439288</v>
      </c>
      <c r="F267" s="304">
        <f t="shared" ca="1" si="126"/>
        <v>9.367443609040695</v>
      </c>
      <c r="G267" s="306">
        <f t="shared" ca="1" si="127"/>
        <v>9.1555479556150168</v>
      </c>
      <c r="H267" s="307">
        <f t="shared" ca="1" si="128"/>
        <v>-11.718897912397932</v>
      </c>
      <c r="I267" s="304">
        <f t="shared" ca="1" si="129"/>
        <v>14.871335738553242</v>
      </c>
      <c r="J267" s="306">
        <f t="shared" ca="1" si="130"/>
        <v>99.008372864453619</v>
      </c>
      <c r="K267" s="307">
        <f t="shared" ca="1" si="131"/>
        <v>288.93559987586428</v>
      </c>
      <c r="L267" s="304">
        <f t="shared" ca="1" si="116"/>
        <v>305.4282874471391</v>
      </c>
      <c r="M267" s="306">
        <f t="shared" ca="1" si="132"/>
        <v>-0.90758491079843151</v>
      </c>
      <c r="N267" s="304">
        <f t="shared" ca="1" si="133"/>
        <v>-52.000784938507422</v>
      </c>
      <c r="P267" s="310">
        <f t="shared" ca="1" si="134"/>
        <v>23</v>
      </c>
      <c r="Q267" s="304">
        <f t="shared" ca="1" si="135"/>
        <v>0</v>
      </c>
      <c r="R267" s="306">
        <f t="shared" ca="1" si="136"/>
        <v>0</v>
      </c>
      <c r="S267" s="307">
        <f t="shared" ca="1" si="137"/>
        <v>0.4270000000000001</v>
      </c>
      <c r="T267" s="304">
        <f t="shared" ca="1" si="117"/>
        <v>4.1888700000000014</v>
      </c>
      <c r="U267" s="311">
        <f t="shared" ca="1" si="118"/>
        <v>0</v>
      </c>
      <c r="V267" s="306">
        <f t="shared" ca="1" si="119"/>
        <v>1.1901094451844876</v>
      </c>
      <c r="W267" s="304">
        <f t="shared" ca="1" si="120"/>
        <v>0.27841129504643397</v>
      </c>
      <c r="Y267" s="314" t="str">
        <f t="shared" ca="1" si="138"/>
        <v/>
      </c>
      <c r="Z267" s="315" t="str">
        <f t="shared" ca="1" si="139"/>
        <v/>
      </c>
      <c r="AA267" s="316" t="str">
        <f t="shared" ca="1" si="140"/>
        <v/>
      </c>
      <c r="AC267" s="310" t="e">
        <f t="shared" ca="1" si="141"/>
        <v>#N/A</v>
      </c>
      <c r="AD267" s="323" t="e">
        <f t="shared" ca="1" si="142"/>
        <v>#N/A</v>
      </c>
      <c r="AE267" s="324" t="e">
        <f t="shared" ca="1" si="121"/>
        <v>#N/A</v>
      </c>
      <c r="AG267" s="306">
        <f t="shared" ca="1" si="143"/>
        <v>6.8729590263311353</v>
      </c>
      <c r="AH267" s="304">
        <f t="shared" ca="1" si="144"/>
        <v>-0.59193655291639069</v>
      </c>
    </row>
    <row r="268" spans="1:34" x14ac:dyDescent="0.3">
      <c r="A268" s="347">
        <f t="shared" ca="1" si="122"/>
        <v>0.1</v>
      </c>
      <c r="B268" s="304">
        <f t="shared" ca="1" si="123"/>
        <v>8.3999999999999879</v>
      </c>
      <c r="D268" s="306">
        <f t="shared" ca="1" si="124"/>
        <v>-0.40141476120348257</v>
      </c>
      <c r="E268" s="307">
        <f t="shared" ca="1" si="125"/>
        <v>-9.2961980266087512</v>
      </c>
      <c r="F268" s="304">
        <f t="shared" ca="1" si="126"/>
        <v>9.3048606416451225</v>
      </c>
      <c r="G268" s="306">
        <f t="shared" ca="1" si="127"/>
        <v>9.1154064794946681</v>
      </c>
      <c r="H268" s="307">
        <f t="shared" ca="1" si="128"/>
        <v>-12.648517715058807</v>
      </c>
      <c r="I268" s="304">
        <f t="shared" ca="1" si="129"/>
        <v>15.5908830947631</v>
      </c>
      <c r="J268" s="306">
        <f t="shared" ca="1" si="130"/>
        <v>99.921920586209097</v>
      </c>
      <c r="K268" s="307">
        <f t="shared" ca="1" si="131"/>
        <v>287.71722909449147</v>
      </c>
      <c r="L268" s="304">
        <f t="shared" ca="1" si="116"/>
        <v>304.57444760099094</v>
      </c>
      <c r="M268" s="306">
        <f t="shared" ca="1" si="132"/>
        <v>-0.94633220074123048</v>
      </c>
      <c r="N268" s="304">
        <f t="shared" ca="1" si="133"/>
        <v>-54.220841119799502</v>
      </c>
      <c r="P268" s="310">
        <f t="shared" ca="1" si="134"/>
        <v>23</v>
      </c>
      <c r="Q268" s="304">
        <f t="shared" ca="1" si="135"/>
        <v>0</v>
      </c>
      <c r="R268" s="306">
        <f t="shared" ca="1" si="136"/>
        <v>0</v>
      </c>
      <c r="S268" s="307">
        <f t="shared" ca="1" si="137"/>
        <v>0.4270000000000001</v>
      </c>
      <c r="T268" s="304">
        <f t="shared" ca="1" si="117"/>
        <v>4.1888700000000014</v>
      </c>
      <c r="U268" s="311">
        <f t="shared" ca="1" si="118"/>
        <v>0</v>
      </c>
      <c r="V268" s="306">
        <f t="shared" ca="1" si="119"/>
        <v>1.1902544836207301</v>
      </c>
      <c r="W268" s="304">
        <f t="shared" ca="1" si="120"/>
        <v>0.30604215251918637</v>
      </c>
      <c r="Y268" s="314" t="str">
        <f t="shared" ca="1" si="138"/>
        <v/>
      </c>
      <c r="Z268" s="315" t="str">
        <f t="shared" ca="1" si="139"/>
        <v/>
      </c>
      <c r="AA268" s="316" t="str">
        <f t="shared" ca="1" si="140"/>
        <v/>
      </c>
      <c r="AC268" s="310" t="e">
        <f t="shared" ca="1" si="141"/>
        <v>#N/A</v>
      </c>
      <c r="AD268" s="323" t="e">
        <f t="shared" ca="1" si="142"/>
        <v>#N/A</v>
      </c>
      <c r="AE268" s="324" t="e">
        <f t="shared" ca="1" si="121"/>
        <v>#N/A</v>
      </c>
      <c r="AG268" s="306">
        <f t="shared" ca="1" si="143"/>
        <v>7.0784511493527518</v>
      </c>
      <c r="AH268" s="304">
        <f t="shared" ca="1" si="144"/>
        <v>-0.65201708441787798</v>
      </c>
    </row>
    <row r="269" spans="1:34" x14ac:dyDescent="0.3">
      <c r="A269" s="347">
        <f t="shared" ca="1" si="122"/>
        <v>0.1</v>
      </c>
      <c r="B269" s="304">
        <f t="shared" ca="1" si="123"/>
        <v>8.4999999999999876</v>
      </c>
      <c r="D269" s="306">
        <f t="shared" ca="1" si="124"/>
        <v>-0.41904310345534984</v>
      </c>
      <c r="E269" s="307">
        <f t="shared" ca="1" si="125"/>
        <v>-9.2285367235842628</v>
      </c>
      <c r="F269" s="304">
        <f t="shared" ca="1" si="126"/>
        <v>9.2380456364480494</v>
      </c>
      <c r="G269" s="306">
        <f t="shared" ca="1" si="127"/>
        <v>9.0735021691491333</v>
      </c>
      <c r="H269" s="307">
        <f t="shared" ca="1" si="128"/>
        <v>-13.571371387417233</v>
      </c>
      <c r="I269" s="304">
        <f t="shared" ca="1" si="129"/>
        <v>16.325151238158906</v>
      </c>
      <c r="J269" s="306">
        <f t="shared" ca="1" si="130"/>
        <v>100.83136601864129</v>
      </c>
      <c r="K269" s="307">
        <f t="shared" ca="1" si="131"/>
        <v>286.40623463936765</v>
      </c>
      <c r="L269" s="304">
        <f t="shared" ca="1" si="116"/>
        <v>303.63711171970687</v>
      </c>
      <c r="M269" s="306">
        <f t="shared" ca="1" si="132"/>
        <v>-0.98147258478868615</v>
      </c>
      <c r="N269" s="304">
        <f t="shared" ca="1" si="133"/>
        <v>-56.234236816187554</v>
      </c>
      <c r="P269" s="310">
        <f t="shared" ca="1" si="134"/>
        <v>23</v>
      </c>
      <c r="Q269" s="304">
        <f t="shared" ca="1" si="135"/>
        <v>0</v>
      </c>
      <c r="R269" s="306">
        <f t="shared" ca="1" si="136"/>
        <v>0</v>
      </c>
      <c r="S269" s="307">
        <f t="shared" ca="1" si="137"/>
        <v>0.4270000000000001</v>
      </c>
      <c r="T269" s="304">
        <f t="shared" ca="1" si="117"/>
        <v>4.1888700000000014</v>
      </c>
      <c r="U269" s="311">
        <f t="shared" ca="1" si="118"/>
        <v>0</v>
      </c>
      <c r="V269" s="306">
        <f t="shared" ca="1" si="119"/>
        <v>1.1904105677097063</v>
      </c>
      <c r="W269" s="304">
        <f t="shared" ca="1" si="120"/>
        <v>0.33559168510381071</v>
      </c>
      <c r="Y269" s="314" t="str">
        <f t="shared" ca="1" si="138"/>
        <v/>
      </c>
      <c r="Z269" s="315" t="str">
        <f t="shared" ca="1" si="139"/>
        <v/>
      </c>
      <c r="AA269" s="316" t="str">
        <f t="shared" ca="1" si="140"/>
        <v/>
      </c>
      <c r="AC269" s="310" t="e">
        <f t="shared" ca="1" si="141"/>
        <v>#N/A</v>
      </c>
      <c r="AD269" s="323" t="e">
        <f t="shared" ca="1" si="142"/>
        <v>#N/A</v>
      </c>
      <c r="AE269" s="324" t="e">
        <f t="shared" ca="1" si="121"/>
        <v>#N/A</v>
      </c>
      <c r="AG269" s="306">
        <f t="shared" ca="1" si="143"/>
        <v>7.2418965189872377</v>
      </c>
      <c r="AH269" s="304">
        <f t="shared" ca="1" si="144"/>
        <v>-0.71672635250394923</v>
      </c>
    </row>
    <row r="270" spans="1:34" x14ac:dyDescent="0.3">
      <c r="A270" s="347">
        <f t="shared" ca="1" si="122"/>
        <v>0.1</v>
      </c>
      <c r="B270" s="304">
        <f t="shared" ca="1" si="123"/>
        <v>8.5999999999999872</v>
      </c>
      <c r="D270" s="306">
        <f t="shared" ca="1" si="124"/>
        <v>-0.43681852786352438</v>
      </c>
      <c r="E270" s="307">
        <f t="shared" ca="1" si="125"/>
        <v>-9.1566440675247378</v>
      </c>
      <c r="F270" s="304">
        <f t="shared" ca="1" si="126"/>
        <v>9.1670573798586439</v>
      </c>
      <c r="G270" s="306">
        <f t="shared" ca="1" si="127"/>
        <v>9.0298203163627804</v>
      </c>
      <c r="H270" s="307">
        <f t="shared" ca="1" si="128"/>
        <v>-14.487035794169707</v>
      </c>
      <c r="I270" s="304">
        <f t="shared" ca="1" si="129"/>
        <v>17.070789701925108</v>
      </c>
      <c r="J270" s="306">
        <f t="shared" ca="1" si="130"/>
        <v>101.73653214291689</v>
      </c>
      <c r="K270" s="307">
        <f t="shared" ca="1" si="131"/>
        <v>285.00331428028829</v>
      </c>
      <c r="L270" s="304">
        <f t="shared" ca="1" si="116"/>
        <v>302.61726838238354</v>
      </c>
      <c r="M270" s="306">
        <f t="shared" ca="1" si="132"/>
        <v>-1.0134178867882759</v>
      </c>
      <c r="N270" s="304">
        <f t="shared" ca="1" si="133"/>
        <v>-58.064567796034879</v>
      </c>
      <c r="P270" s="310">
        <f t="shared" ca="1" si="134"/>
        <v>23</v>
      </c>
      <c r="Q270" s="304">
        <f t="shared" ca="1" si="135"/>
        <v>0</v>
      </c>
      <c r="R270" s="306">
        <f t="shared" ca="1" si="136"/>
        <v>0</v>
      </c>
      <c r="S270" s="307">
        <f t="shared" ca="1" si="137"/>
        <v>0.4270000000000001</v>
      </c>
      <c r="T270" s="304">
        <f t="shared" ca="1" si="117"/>
        <v>4.1888700000000014</v>
      </c>
      <c r="U270" s="311">
        <f t="shared" ca="1" si="118"/>
        <v>0</v>
      </c>
      <c r="V270" s="306">
        <f t="shared" ca="1" si="119"/>
        <v>1.1905776186393253</v>
      </c>
      <c r="W270" s="304">
        <f t="shared" ca="1" si="120"/>
        <v>0.36699904163104674</v>
      </c>
      <c r="Y270" s="314" t="str">
        <f t="shared" ca="1" si="138"/>
        <v/>
      </c>
      <c r="Z270" s="315" t="str">
        <f t="shared" ca="1" si="139"/>
        <v/>
      </c>
      <c r="AA270" s="316" t="str">
        <f t="shared" ca="1" si="140"/>
        <v/>
      </c>
      <c r="AC270" s="310" t="e">
        <f t="shared" ca="1" si="141"/>
        <v>#N/A</v>
      </c>
      <c r="AD270" s="323" t="e">
        <f t="shared" ca="1" si="142"/>
        <v>#N/A</v>
      </c>
      <c r="AE270" s="324" t="e">
        <f t="shared" ca="1" si="121"/>
        <v>#N/A</v>
      </c>
      <c r="AG270" s="306">
        <f t="shared" ca="1" si="143"/>
        <v>7.369288142425952</v>
      </c>
      <c r="AH270" s="304">
        <f t="shared" ca="1" si="144"/>
        <v>-0.78592900492695694</v>
      </c>
    </row>
    <row r="271" spans="1:34" x14ac:dyDescent="0.3">
      <c r="A271" s="347">
        <f t="shared" ca="1" si="122"/>
        <v>0.1</v>
      </c>
      <c r="B271" s="304">
        <f t="shared" ca="1" si="123"/>
        <v>8.6999999999999869</v>
      </c>
      <c r="D271" s="306">
        <f t="shared" ca="1" si="124"/>
        <v>-0.45463466977242395</v>
      </c>
      <c r="E271" s="307">
        <f t="shared" ca="1" si="125"/>
        <v>-9.0806046739015738</v>
      </c>
      <c r="F271" s="304">
        <f t="shared" ca="1" si="126"/>
        <v>9.0919785485141897</v>
      </c>
      <c r="G271" s="306">
        <f t="shared" ca="1" si="127"/>
        <v>8.9843568493855379</v>
      </c>
      <c r="H271" s="307">
        <f t="shared" ca="1" si="128"/>
        <v>-15.395096261559864</v>
      </c>
      <c r="I271" s="304">
        <f t="shared" ca="1" si="129"/>
        <v>17.82491674313783</v>
      </c>
      <c r="J271" s="306">
        <f t="shared" ca="1" si="130"/>
        <v>102.6372410012043</v>
      </c>
      <c r="K271" s="307">
        <f t="shared" ca="1" si="131"/>
        <v>283.50920767750182</v>
      </c>
      <c r="L271" s="304">
        <f t="shared" ca="1" si="116"/>
        <v>301.51595990637736</v>
      </c>
      <c r="M271" s="306">
        <f t="shared" ca="1" si="132"/>
        <v>-1.0425336618761116</v>
      </c>
      <c r="N271" s="304">
        <f t="shared" ca="1" si="133"/>
        <v>-59.732778825820013</v>
      </c>
      <c r="P271" s="310">
        <f t="shared" ca="1" si="134"/>
        <v>23</v>
      </c>
      <c r="Q271" s="304">
        <f t="shared" ca="1" si="135"/>
        <v>0</v>
      </c>
      <c r="R271" s="306">
        <f t="shared" ca="1" si="136"/>
        <v>0</v>
      </c>
      <c r="S271" s="307">
        <f t="shared" ca="1" si="137"/>
        <v>0.4270000000000001</v>
      </c>
      <c r="T271" s="304">
        <f t="shared" ca="1" si="117"/>
        <v>4.1888700000000014</v>
      </c>
      <c r="U271" s="311">
        <f t="shared" ca="1" si="118"/>
        <v>0</v>
      </c>
      <c r="V271" s="306">
        <f t="shared" ca="1" si="119"/>
        <v>1.1907555528632605</v>
      </c>
      <c r="W271" s="304">
        <f t="shared" ca="1" si="120"/>
        <v>0.40020050016623121</v>
      </c>
      <c r="Y271" s="314" t="str">
        <f t="shared" ca="1" si="138"/>
        <v/>
      </c>
      <c r="Z271" s="315" t="str">
        <f t="shared" ca="1" si="139"/>
        <v/>
      </c>
      <c r="AA271" s="316" t="str">
        <f t="shared" ca="1" si="140"/>
        <v/>
      </c>
      <c r="AC271" s="310" t="e">
        <f t="shared" ca="1" si="141"/>
        <v>#N/A</v>
      </c>
      <c r="AD271" s="323" t="e">
        <f t="shared" ca="1" si="142"/>
        <v>#N/A</v>
      </c>
      <c r="AE271" s="324" t="e">
        <f t="shared" ca="1" si="121"/>
        <v>#N/A</v>
      </c>
      <c r="AG271" s="306">
        <f t="shared" ca="1" si="143"/>
        <v>7.4657223122788867</v>
      </c>
      <c r="AH271" s="304">
        <f t="shared" ca="1" si="144"/>
        <v>-0.85948253309378608</v>
      </c>
    </row>
    <row r="272" spans="1:34" x14ac:dyDescent="0.3">
      <c r="A272" s="347">
        <f t="shared" ca="1" si="122"/>
        <v>0.1</v>
      </c>
      <c r="B272" s="304">
        <f t="shared" ca="1" si="123"/>
        <v>8.7999999999999865</v>
      </c>
      <c r="D272" s="306">
        <f t="shared" ca="1" si="124"/>
        <v>-0.47239928906944284</v>
      </c>
      <c r="E272" s="307">
        <f t="shared" ca="1" si="125"/>
        <v>-9.0005227440277036</v>
      </c>
      <c r="F272" s="304">
        <f t="shared" ca="1" si="126"/>
        <v>9.0129113361928344</v>
      </c>
      <c r="G272" s="306">
        <f t="shared" ca="1" si="127"/>
        <v>8.9371169204785943</v>
      </c>
      <c r="H272" s="307">
        <f t="shared" ca="1" si="128"/>
        <v>-16.295148535962635</v>
      </c>
      <c r="I272" s="304">
        <f t="shared" ca="1" si="129"/>
        <v>18.585045726588621</v>
      </c>
      <c r="J272" s="306">
        <f t="shared" ca="1" si="130"/>
        <v>103.53331468969751</v>
      </c>
      <c r="K272" s="307">
        <f t="shared" ca="1" si="131"/>
        <v>281.9246954376257</v>
      </c>
      <c r="L272" s="304">
        <f t="shared" ca="1" si="116"/>
        <v>300.3342823392527</v>
      </c>
      <c r="M272" s="306">
        <f t="shared" ca="1" si="132"/>
        <v>-1.0691418991449961</v>
      </c>
      <c r="N272" s="304">
        <f t="shared" ca="1" si="133"/>
        <v>-61.257318521609797</v>
      </c>
      <c r="P272" s="310">
        <f t="shared" ca="1" si="134"/>
        <v>23</v>
      </c>
      <c r="Q272" s="304">
        <f t="shared" ca="1" si="135"/>
        <v>0</v>
      </c>
      <c r="R272" s="306">
        <f t="shared" ca="1" si="136"/>
        <v>0</v>
      </c>
      <c r="S272" s="307">
        <f t="shared" ca="1" si="137"/>
        <v>0.4270000000000001</v>
      </c>
      <c r="T272" s="304">
        <f t="shared" ca="1" si="117"/>
        <v>4.1888700000000014</v>
      </c>
      <c r="U272" s="311">
        <f t="shared" ca="1" si="118"/>
        <v>0</v>
      </c>
      <c r="V272" s="306">
        <f t="shared" ca="1" si="119"/>
        <v>1.1909442822022924</v>
      </c>
      <c r="W272" s="304">
        <f t="shared" ca="1" si="120"/>
        <v>0.43512967587975121</v>
      </c>
      <c r="Y272" s="314" t="str">
        <f t="shared" ca="1" si="138"/>
        <v/>
      </c>
      <c r="Z272" s="315" t="str">
        <f t="shared" ca="1" si="139"/>
        <v/>
      </c>
      <c r="AA272" s="316" t="str">
        <f t="shared" ca="1" si="140"/>
        <v/>
      </c>
      <c r="AC272" s="310" t="e">
        <f t="shared" ca="1" si="141"/>
        <v>#N/A</v>
      </c>
      <c r="AD272" s="323" t="e">
        <f t="shared" ca="1" si="142"/>
        <v>#N/A</v>
      </c>
      <c r="AE272" s="324" t="e">
        <f t="shared" ca="1" si="121"/>
        <v>#N/A</v>
      </c>
      <c r="AG272" s="306">
        <f t="shared" ca="1" si="143"/>
        <v>7.53550281304845</v>
      </c>
      <c r="AH272" s="304">
        <f t="shared" ca="1" si="144"/>
        <v>-0.93723770530733286</v>
      </c>
    </row>
    <row r="273" spans="1:34" x14ac:dyDescent="0.3">
      <c r="A273" s="347">
        <f t="shared" ca="1" si="122"/>
        <v>0.1</v>
      </c>
      <c r="B273" s="304">
        <f t="shared" ca="1" si="123"/>
        <v>8.8999999999999861</v>
      </c>
      <c r="D273" s="306">
        <f t="shared" ca="1" si="124"/>
        <v>-0.49003221742800812</v>
      </c>
      <c r="E273" s="307">
        <f t="shared" ca="1" si="125"/>
        <v>-8.9165185963832165</v>
      </c>
      <c r="F273" s="304">
        <f t="shared" ca="1" si="126"/>
        <v>8.9299739895346359</v>
      </c>
      <c r="G273" s="306">
        <f t="shared" ca="1" si="127"/>
        <v>8.8881136987357934</v>
      </c>
      <c r="H273" s="307">
        <f t="shared" ca="1" si="128"/>
        <v>-17.186800395600958</v>
      </c>
      <c r="I273" s="304">
        <f t="shared" ca="1" si="129"/>
        <v>19.349022532414502</v>
      </c>
      <c r="J273" s="306">
        <f t="shared" ca="1" si="130"/>
        <v>104.42457622065822</v>
      </c>
      <c r="K273" s="307">
        <f t="shared" ca="1" si="131"/>
        <v>280.25059799104753</v>
      </c>
      <c r="L273" s="304">
        <f t="shared" ca="1" si="116"/>
        <v>299.07338529732766</v>
      </c>
      <c r="M273" s="306">
        <f t="shared" ca="1" si="132"/>
        <v>-1.0935248810892655</v>
      </c>
      <c r="N273" s="304">
        <f t="shared" ca="1" si="133"/>
        <v>-62.654360478960122</v>
      </c>
      <c r="P273" s="310">
        <f t="shared" ca="1" si="134"/>
        <v>23</v>
      </c>
      <c r="Q273" s="304">
        <f t="shared" ca="1" si="135"/>
        <v>0</v>
      </c>
      <c r="R273" s="306">
        <f t="shared" ca="1" si="136"/>
        <v>0</v>
      </c>
      <c r="S273" s="307">
        <f t="shared" ca="1" si="137"/>
        <v>0.4270000000000001</v>
      </c>
      <c r="T273" s="304">
        <f t="shared" ca="1" si="117"/>
        <v>4.1888700000000014</v>
      </c>
      <c r="U273" s="311">
        <f t="shared" ca="1" si="118"/>
        <v>0</v>
      </c>
      <c r="V273" s="306">
        <f t="shared" ca="1" si="119"/>
        <v>1.1911437139664298</v>
      </c>
      <c r="W273" s="304">
        <f t="shared" ca="1" si="120"/>
        <v>0.47171774687823548</v>
      </c>
      <c r="Y273" s="314" t="str">
        <f t="shared" ca="1" si="138"/>
        <v/>
      </c>
      <c r="Z273" s="315" t="str">
        <f t="shared" ca="1" si="139"/>
        <v/>
      </c>
      <c r="AA273" s="316" t="str">
        <f t="shared" ca="1" si="140"/>
        <v/>
      </c>
      <c r="AC273" s="310" t="e">
        <f t="shared" ca="1" si="141"/>
        <v>#N/A</v>
      </c>
      <c r="AD273" s="323" t="e">
        <f t="shared" ca="1" si="142"/>
        <v>#N/A</v>
      </c>
      <c r="AE273" s="324" t="e">
        <f t="shared" ca="1" si="121"/>
        <v>#N/A</v>
      </c>
      <c r="AG273" s="306">
        <f t="shared" ca="1" si="143"/>
        <v>7.5822530545717415</v>
      </c>
      <c r="AH273" s="304">
        <f t="shared" ca="1" si="144"/>
        <v>-1.0190390535825553</v>
      </c>
    </row>
    <row r="274" spans="1:34" x14ac:dyDescent="0.3">
      <c r="A274" s="347">
        <f t="shared" ca="1" si="122"/>
        <v>0.1</v>
      </c>
      <c r="B274" s="304">
        <f t="shared" ca="1" si="123"/>
        <v>8.9999999999999858</v>
      </c>
      <c r="D274" s="306">
        <f t="shared" ca="1" si="124"/>
        <v>-0.5074636182306338</v>
      </c>
      <c r="E274" s="307">
        <f t="shared" ca="1" si="125"/>
        <v>-8.8287258837834308</v>
      </c>
      <c r="F274" s="304">
        <f t="shared" ca="1" si="126"/>
        <v>8.8432980304191506</v>
      </c>
      <c r="G274" s="306">
        <f t="shared" ca="1" si="127"/>
        <v>8.8373673369127292</v>
      </c>
      <c r="H274" s="307">
        <f t="shared" ca="1" si="128"/>
        <v>-18.069672983979302</v>
      </c>
      <c r="I274" s="304">
        <f t="shared" ca="1" si="129"/>
        <v>20.114973109489444</v>
      </c>
      <c r="J274" s="306">
        <f t="shared" ca="1" si="130"/>
        <v>105.31085027244065</v>
      </c>
      <c r="K274" s="307">
        <f t="shared" ca="1" si="131"/>
        <v>278.4877743220685</v>
      </c>
      <c r="L274" s="304">
        <f t="shared" ca="1" si="116"/>
        <v>297.73447168906017</v>
      </c>
      <c r="M274" s="306">
        <f t="shared" ca="1" si="132"/>
        <v>-1.115929442996501</v>
      </c>
      <c r="N274" s="304">
        <f t="shared" ca="1" si="133"/>
        <v>-63.938047318084287</v>
      </c>
      <c r="P274" s="310">
        <f t="shared" ca="1" si="134"/>
        <v>23</v>
      </c>
      <c r="Q274" s="304">
        <f t="shared" ca="1" si="135"/>
        <v>0</v>
      </c>
      <c r="R274" s="306">
        <f t="shared" ca="1" si="136"/>
        <v>0</v>
      </c>
      <c r="S274" s="307">
        <f t="shared" ca="1" si="137"/>
        <v>0.4270000000000001</v>
      </c>
      <c r="T274" s="304">
        <f t="shared" ca="1" si="117"/>
        <v>4.1888700000000014</v>
      </c>
      <c r="U274" s="311">
        <f t="shared" ca="1" si="118"/>
        <v>0</v>
      </c>
      <c r="V274" s="306">
        <f t="shared" ca="1" si="119"/>
        <v>1.1913537510941505</v>
      </c>
      <c r="W274" s="304">
        <f t="shared" ca="1" si="120"/>
        <v>0.50989369384477023</v>
      </c>
      <c r="Y274" s="314" t="str">
        <f t="shared" ca="1" si="138"/>
        <v/>
      </c>
      <c r="Z274" s="315" t="str">
        <f t="shared" ca="1" si="139"/>
        <v/>
      </c>
      <c r="AA274" s="316" t="str">
        <f t="shared" ca="1" si="140"/>
        <v/>
      </c>
      <c r="AC274" s="310">
        <f t="shared" ca="1" si="141"/>
        <v>8.9999999999999858</v>
      </c>
      <c r="AD274" s="323">
        <f t="shared" ca="1" si="142"/>
        <v>105.31085027244065</v>
      </c>
      <c r="AE274" s="324" t="e">
        <f t="shared" ca="1" si="121"/>
        <v>#N/A</v>
      </c>
      <c r="AG274" s="306">
        <f t="shared" ca="1" si="143"/>
        <v>7.6090228810583627</v>
      </c>
      <c r="AH274" s="304">
        <f t="shared" ca="1" si="144"/>
        <v>-1.1047254025251414</v>
      </c>
    </row>
    <row r="275" spans="1:34" x14ac:dyDescent="0.3">
      <c r="A275" s="347">
        <f t="shared" ca="1" si="122"/>
        <v>0.1</v>
      </c>
      <c r="B275" s="304">
        <f t="shared" ca="1" si="123"/>
        <v>9.0999999999999854</v>
      </c>
      <c r="D275" s="306">
        <f t="shared" ca="1" si="124"/>
        <v>-0.52463253147358058</v>
      </c>
      <c r="E275" s="307">
        <f t="shared" ca="1" si="125"/>
        <v>-8.7372893250812211</v>
      </c>
      <c r="F275" s="304">
        <f t="shared" ca="1" si="126"/>
        <v>8.7530259935212484</v>
      </c>
      <c r="G275" s="306">
        <f t="shared" ca="1" si="127"/>
        <v>8.7849040837653707</v>
      </c>
      <c r="H275" s="307">
        <f t="shared" ca="1" si="128"/>
        <v>-18.943401916487424</v>
      </c>
      <c r="I275" s="304">
        <f t="shared" ca="1" si="129"/>
        <v>20.8812599220099</v>
      </c>
      <c r="J275" s="306">
        <f t="shared" ca="1" si="130"/>
        <v>106.19196384347455</v>
      </c>
      <c r="K275" s="307">
        <f t="shared" ca="1" si="131"/>
        <v>276.63712057704515</v>
      </c>
      <c r="L275" s="304">
        <f t="shared" ca="1" si="116"/>
        <v>296.3187973553018</v>
      </c>
      <c r="M275" s="306">
        <f t="shared" ca="1" si="132"/>
        <v>-1.1365711971100203</v>
      </c>
      <c r="N275" s="304">
        <f t="shared" ca="1" si="133"/>
        <v>-65.120732710535748</v>
      </c>
      <c r="P275" s="310">
        <f t="shared" ca="1" si="134"/>
        <v>23</v>
      </c>
      <c r="Q275" s="304">
        <f t="shared" ca="1" si="135"/>
        <v>0</v>
      </c>
      <c r="R275" s="306">
        <f t="shared" ca="1" si="136"/>
        <v>0</v>
      </c>
      <c r="S275" s="307">
        <f t="shared" ca="1" si="137"/>
        <v>0.4270000000000001</v>
      </c>
      <c r="T275" s="304">
        <f t="shared" ca="1" si="117"/>
        <v>4.1888700000000014</v>
      </c>
      <c r="U275" s="311">
        <f t="shared" ca="1" si="118"/>
        <v>0</v>
      </c>
      <c r="V275" s="306">
        <f t="shared" ca="1" si="119"/>
        <v>1.1915742923058008</v>
      </c>
      <c r="W275" s="304">
        <f t="shared" ca="1" si="120"/>
        <v>0.54958454992533057</v>
      </c>
      <c r="Y275" s="314" t="str">
        <f t="shared" ca="1" si="138"/>
        <v/>
      </c>
      <c r="Z275" s="315" t="str">
        <f t="shared" ca="1" si="139"/>
        <v/>
      </c>
      <c r="AA275" s="316" t="str">
        <f t="shared" ca="1" si="140"/>
        <v/>
      </c>
      <c r="AC275" s="310" t="e">
        <f t="shared" ca="1" si="141"/>
        <v>#N/A</v>
      </c>
      <c r="AD275" s="323" t="e">
        <f t="shared" ca="1" si="142"/>
        <v>#N/A</v>
      </c>
      <c r="AE275" s="324" t="e">
        <f t="shared" ca="1" si="121"/>
        <v>#N/A</v>
      </c>
      <c r="AG275" s="306">
        <f t="shared" ca="1" si="143"/>
        <v>7.6183840584310909</v>
      </c>
      <c r="AH275" s="304">
        <f t="shared" ca="1" si="144"/>
        <v>-1.1941304305498128</v>
      </c>
    </row>
    <row r="276" spans="1:34" x14ac:dyDescent="0.3">
      <c r="A276" s="347">
        <f t="shared" ca="1" si="122"/>
        <v>0.1</v>
      </c>
      <c r="B276" s="304">
        <f t="shared" ca="1" si="123"/>
        <v>9.1999999999999851</v>
      </c>
      <c r="D276" s="306">
        <f t="shared" ca="1" si="124"/>
        <v>-0.54148566638487283</v>
      </c>
      <c r="E276" s="307">
        <f t="shared" ca="1" si="125"/>
        <v>-8.6423628223440918</v>
      </c>
      <c r="F276" s="304">
        <f t="shared" ca="1" si="126"/>
        <v>8.6593095498391559</v>
      </c>
      <c r="G276" s="306">
        <f t="shared" ca="1" si="127"/>
        <v>8.7307555171268838</v>
      </c>
      <c r="H276" s="307">
        <f t="shared" ca="1" si="128"/>
        <v>-19.807638198721833</v>
      </c>
      <c r="I276" s="304">
        <f t="shared" ca="1" si="129"/>
        <v>21.646445964899314</v>
      </c>
      <c r="J276" s="306">
        <f t="shared" ca="1" si="130"/>
        <v>107.06774682351917</v>
      </c>
      <c r="K276" s="307">
        <f t="shared" ca="1" si="131"/>
        <v>274.69956857128471</v>
      </c>
      <c r="L276" s="304">
        <f t="shared" ca="1" si="116"/>
        <v>294.82767065374844</v>
      </c>
      <c r="M276" s="306">
        <f t="shared" ca="1" si="132"/>
        <v>-1.1556384903747863</v>
      </c>
      <c r="N276" s="304">
        <f t="shared" ca="1" si="133"/>
        <v>-66.213208141345063</v>
      </c>
      <c r="P276" s="310">
        <f t="shared" ca="1" si="134"/>
        <v>23</v>
      </c>
      <c r="Q276" s="304">
        <f t="shared" ca="1" si="135"/>
        <v>0</v>
      </c>
      <c r="R276" s="306">
        <f t="shared" ca="1" si="136"/>
        <v>0</v>
      </c>
      <c r="S276" s="307">
        <f t="shared" ca="1" si="137"/>
        <v>0.4270000000000001</v>
      </c>
      <c r="T276" s="304">
        <f t="shared" ca="1" si="117"/>
        <v>4.1888700000000014</v>
      </c>
      <c r="U276" s="311">
        <f t="shared" ca="1" si="118"/>
        <v>0</v>
      </c>
      <c r="V276" s="306">
        <f t="shared" ca="1" si="119"/>
        <v>1.1918052322687473</v>
      </c>
      <c r="W276" s="304">
        <f t="shared" ca="1" si="120"/>
        <v>0.59071565775709423</v>
      </c>
      <c r="Y276" s="314" t="str">
        <f t="shared" ca="1" si="138"/>
        <v/>
      </c>
      <c r="Z276" s="315" t="str">
        <f t="shared" ca="1" si="139"/>
        <v/>
      </c>
      <c r="AA276" s="316" t="str">
        <f t="shared" ca="1" si="140"/>
        <v/>
      </c>
      <c r="AC276" s="310" t="e">
        <f t="shared" ca="1" si="141"/>
        <v>#N/A</v>
      </c>
      <c r="AD276" s="323" t="e">
        <f t="shared" ca="1" si="142"/>
        <v>#N/A</v>
      </c>
      <c r="AE276" s="324" t="e">
        <f t="shared" ca="1" si="121"/>
        <v>#N/A</v>
      </c>
      <c r="AG276" s="306">
        <f t="shared" ca="1" si="143"/>
        <v>7.61251253054406</v>
      </c>
      <c r="AH276" s="304">
        <f t="shared" ca="1" si="144"/>
        <v>-1.2870832550944507</v>
      </c>
    </row>
    <row r="277" spans="1:34" x14ac:dyDescent="0.3">
      <c r="A277" s="347">
        <f t="shared" ca="1" si="122"/>
        <v>0.1</v>
      </c>
      <c r="B277" s="304">
        <f t="shared" ca="1" si="123"/>
        <v>9.2999999999999847</v>
      </c>
      <c r="D277" s="306">
        <f t="shared" ca="1" si="124"/>
        <v>-0.55797640317088171</v>
      </c>
      <c r="E277" s="307">
        <f t="shared" ca="1" si="125"/>
        <v>-8.5441078677839304</v>
      </c>
      <c r="F277" s="304">
        <f t="shared" ca="1" si="126"/>
        <v>8.5623079203461714</v>
      </c>
      <c r="G277" s="306">
        <f t="shared" ca="1" si="127"/>
        <v>8.6749578768097955</v>
      </c>
      <c r="H277" s="307">
        <f t="shared" ca="1" si="128"/>
        <v>-20.662048985500224</v>
      </c>
      <c r="I277" s="304">
        <f t="shared" ca="1" si="129"/>
        <v>22.409265102712208</v>
      </c>
      <c r="J277" s="306">
        <f t="shared" ca="1" si="130"/>
        <v>107.93803249321601</v>
      </c>
      <c r="K277" s="307">
        <f t="shared" ca="1" si="131"/>
        <v>272.67608421207359</v>
      </c>
      <c r="L277" s="304">
        <f t="shared" ca="1" si="116"/>
        <v>293.26245201139614</v>
      </c>
      <c r="M277" s="306">
        <f t="shared" ca="1" si="132"/>
        <v>-1.1732959892230532</v>
      </c>
      <c r="N277" s="304">
        <f t="shared" ca="1" si="133"/>
        <v>-67.224908302107877</v>
      </c>
      <c r="P277" s="310">
        <f t="shared" ca="1" si="134"/>
        <v>23</v>
      </c>
      <c r="Q277" s="304">
        <f t="shared" ca="1" si="135"/>
        <v>0</v>
      </c>
      <c r="R277" s="306">
        <f t="shared" ca="1" si="136"/>
        <v>0</v>
      </c>
      <c r="S277" s="307">
        <f t="shared" ca="1" si="137"/>
        <v>0.4270000000000001</v>
      </c>
      <c r="T277" s="304">
        <f t="shared" ca="1" si="117"/>
        <v>4.1888700000000014</v>
      </c>
      <c r="U277" s="311">
        <f t="shared" ca="1" si="118"/>
        <v>0</v>
      </c>
      <c r="V277" s="306">
        <f t="shared" ca="1" si="119"/>
        <v>1.1920464617722646</v>
      </c>
      <c r="W277" s="304">
        <f t="shared" ca="1" si="120"/>
        <v>0.63321093089788372</v>
      </c>
      <c r="Y277" s="314" t="str">
        <f t="shared" ca="1" si="138"/>
        <v/>
      </c>
      <c r="Z277" s="315" t="str">
        <f t="shared" ca="1" si="139"/>
        <v/>
      </c>
      <c r="AA277" s="316" t="str">
        <f t="shared" ca="1" si="140"/>
        <v/>
      </c>
      <c r="AC277" s="310" t="e">
        <f t="shared" ca="1" si="141"/>
        <v>#N/A</v>
      </c>
      <c r="AD277" s="323" t="e">
        <f t="shared" ca="1" si="142"/>
        <v>#N/A</v>
      </c>
      <c r="AE277" s="324" t="e">
        <f t="shared" ca="1" si="121"/>
        <v>#N/A</v>
      </c>
      <c r="AG277" s="306">
        <f t="shared" ca="1" si="143"/>
        <v>7.5932576683504767</v>
      </c>
      <c r="AH277" s="304">
        <f t="shared" ca="1" si="144"/>
        <v>-1.3834090345599392</v>
      </c>
    </row>
    <row r="278" spans="1:34" x14ac:dyDescent="0.3">
      <c r="A278" s="347">
        <f t="shared" ca="1" si="122"/>
        <v>0.1</v>
      </c>
      <c r="B278" s="304">
        <f t="shared" ca="1" si="123"/>
        <v>9.3999999999999844</v>
      </c>
      <c r="D278" s="306">
        <f t="shared" ca="1" si="124"/>
        <v>-0.57406396803486059</v>
      </c>
      <c r="E278" s="307">
        <f t="shared" ca="1" si="125"/>
        <v>-8.4426921701769793</v>
      </c>
      <c r="F278" s="304">
        <f t="shared" ca="1" si="126"/>
        <v>8.4621865093936322</v>
      </c>
      <c r="G278" s="306">
        <f t="shared" ca="1" si="127"/>
        <v>8.6175514800063091</v>
      </c>
      <c r="H278" s="307">
        <f t="shared" ca="1" si="128"/>
        <v>-21.506318202517921</v>
      </c>
      <c r="I278" s="304">
        <f t="shared" ca="1" si="129"/>
        <v>23.168597629949737</v>
      </c>
      <c r="J278" s="306">
        <f t="shared" ca="1" si="130"/>
        <v>108.80265796105682</v>
      </c>
      <c r="K278" s="307">
        <f t="shared" ca="1" si="131"/>
        <v>270.56766585267269</v>
      </c>
      <c r="L278" s="304">
        <f t="shared" ca="1" si="116"/>
        <v>291.62455346618924</v>
      </c>
      <c r="M278" s="306">
        <f t="shared" ca="1" si="132"/>
        <v>-1.1896878580222789</v>
      </c>
      <c r="N278" s="304">
        <f t="shared" ca="1" si="133"/>
        <v>-68.164093202635684</v>
      </c>
      <c r="P278" s="310">
        <f t="shared" ca="1" si="134"/>
        <v>23</v>
      </c>
      <c r="Q278" s="304">
        <f t="shared" ca="1" si="135"/>
        <v>0</v>
      </c>
      <c r="R278" s="306">
        <f t="shared" ca="1" si="136"/>
        <v>0</v>
      </c>
      <c r="S278" s="307">
        <f t="shared" ca="1" si="137"/>
        <v>0.4270000000000001</v>
      </c>
      <c r="T278" s="304">
        <f t="shared" ca="1" si="117"/>
        <v>4.1888700000000014</v>
      </c>
      <c r="U278" s="311">
        <f t="shared" ca="1" si="118"/>
        <v>0</v>
      </c>
      <c r="V278" s="306">
        <f t="shared" ca="1" si="119"/>
        <v>1.1922978679104417</v>
      </c>
      <c r="W278" s="304">
        <f t="shared" ca="1" si="120"/>
        <v>0.67699311721182176</v>
      </c>
      <c r="Y278" s="314" t="str">
        <f t="shared" ca="1" si="138"/>
        <v/>
      </c>
      <c r="Z278" s="315" t="str">
        <f t="shared" ca="1" si="139"/>
        <v/>
      </c>
      <c r="AA278" s="316" t="str">
        <f t="shared" ca="1" si="140"/>
        <v/>
      </c>
      <c r="AC278" s="310" t="e">
        <f t="shared" ca="1" si="141"/>
        <v>#N/A</v>
      </c>
      <c r="AD278" s="323" t="e">
        <f t="shared" ca="1" si="142"/>
        <v>#N/A</v>
      </c>
      <c r="AE278" s="324" t="e">
        <f t="shared" ca="1" si="121"/>
        <v>#N/A</v>
      </c>
      <c r="AG278" s="306">
        <f t="shared" ca="1" si="143"/>
        <v>7.5621997272855248</v>
      </c>
      <c r="AH278" s="304">
        <f t="shared" ca="1" si="144"/>
        <v>-1.4829295805571043</v>
      </c>
    </row>
    <row r="279" spans="1:34" x14ac:dyDescent="0.3">
      <c r="A279" s="347">
        <f t="shared" ca="1" si="122"/>
        <v>0.1</v>
      </c>
      <c r="B279" s="304">
        <f t="shared" ca="1" si="123"/>
        <v>9.499999999999984</v>
      </c>
      <c r="D279" s="306">
        <f t="shared" ca="1" si="124"/>
        <v>-0.58971274999882028</v>
      </c>
      <c r="E279" s="307">
        <f t="shared" ca="1" si="125"/>
        <v>-8.3382884495692924</v>
      </c>
      <c r="F279" s="304">
        <f t="shared" ca="1" si="126"/>
        <v>8.3591157065644115</v>
      </c>
      <c r="G279" s="306">
        <f t="shared" ca="1" si="127"/>
        <v>8.558580205006427</v>
      </c>
      <c r="H279" s="307">
        <f t="shared" ca="1" si="128"/>
        <v>-22.340147047474851</v>
      </c>
      <c r="I279" s="304">
        <f t="shared" ca="1" si="129"/>
        <v>23.923450111309762</v>
      </c>
      <c r="J279" s="306">
        <f t="shared" ca="1" si="130"/>
        <v>109.66146454530747</v>
      </c>
      <c r="K279" s="307">
        <f t="shared" ca="1" si="131"/>
        <v>268.37534259017303</v>
      </c>
      <c r="L279" s="304">
        <f t="shared" ca="1" si="116"/>
        <v>289.91543821710229</v>
      </c>
      <c r="M279" s="306">
        <f t="shared" ca="1" si="132"/>
        <v>-1.2049405385775913</v>
      </c>
      <c r="N279" s="304">
        <f t="shared" ca="1" si="133"/>
        <v>-69.038007424716341</v>
      </c>
      <c r="P279" s="310">
        <f t="shared" ca="1" si="134"/>
        <v>23</v>
      </c>
      <c r="Q279" s="304">
        <f t="shared" ca="1" si="135"/>
        <v>0</v>
      </c>
      <c r="R279" s="306">
        <f t="shared" ca="1" si="136"/>
        <v>0</v>
      </c>
      <c r="S279" s="307">
        <f t="shared" ca="1" si="137"/>
        <v>0.4270000000000001</v>
      </c>
      <c r="T279" s="304">
        <f t="shared" ca="1" si="117"/>
        <v>4.1888700000000014</v>
      </c>
      <c r="U279" s="311">
        <f t="shared" ca="1" si="118"/>
        <v>0</v>
      </c>
      <c r="V279" s="306">
        <f t="shared" ca="1" si="119"/>
        <v>1.1925593342716387</v>
      </c>
      <c r="W279" s="304">
        <f t="shared" ca="1" si="120"/>
        <v>0.72198406201449594</v>
      </c>
      <c r="Y279" s="314" t="str">
        <f t="shared" ca="1" si="138"/>
        <v/>
      </c>
      <c r="Z279" s="315" t="str">
        <f t="shared" ca="1" si="139"/>
        <v/>
      </c>
      <c r="AA279" s="316" t="str">
        <f t="shared" ca="1" si="140"/>
        <v/>
      </c>
      <c r="AC279" s="310" t="e">
        <f t="shared" ca="1" si="141"/>
        <v>#N/A</v>
      </c>
      <c r="AD279" s="323" t="e">
        <f t="shared" ca="1" si="142"/>
        <v>#N/A</v>
      </c>
      <c r="AE279" s="324" t="e">
        <f t="shared" ca="1" si="121"/>
        <v>#N/A</v>
      </c>
      <c r="AG279" s="306">
        <f t="shared" ca="1" si="143"/>
        <v>7.5206970858712312</v>
      </c>
      <c r="AH279" s="304">
        <f t="shared" ca="1" si="144"/>
        <v>-1.5854639747349453</v>
      </c>
    </row>
    <row r="280" spans="1:34" x14ac:dyDescent="0.3">
      <c r="A280" s="347">
        <f t="shared" ca="1" si="122"/>
        <v>0.1</v>
      </c>
      <c r="B280" s="304">
        <f t="shared" ca="1" si="123"/>
        <v>9.5999999999999837</v>
      </c>
      <c r="D280" s="306">
        <f t="shared" ca="1" si="124"/>
        <v>-0.60489173283320585</v>
      </c>
      <c r="E280" s="307">
        <f t="shared" ca="1" si="125"/>
        <v>-8.2310733631507116</v>
      </c>
      <c r="F280" s="304">
        <f t="shared" ca="1" si="126"/>
        <v>8.2532698197756211</v>
      </c>
      <c r="G280" s="306">
        <f t="shared" ca="1" si="127"/>
        <v>8.4980910317231064</v>
      </c>
      <c r="H280" s="307">
        <f t="shared" ca="1" si="128"/>
        <v>-23.163254383789923</v>
      </c>
      <c r="I280" s="304">
        <f t="shared" ca="1" si="129"/>
        <v>24.672938714948728</v>
      </c>
      <c r="J280" s="306">
        <f t="shared" ca="1" si="130"/>
        <v>110.51429810714394</v>
      </c>
      <c r="K280" s="307">
        <f t="shared" ca="1" si="131"/>
        <v>266.10017251860978</v>
      </c>
      <c r="L280" s="304">
        <f t="shared" ca="1" si="116"/>
        <v>288.13662020046769</v>
      </c>
      <c r="M280" s="306">
        <f t="shared" ca="1" si="132"/>
        <v>-1.2191651590174681</v>
      </c>
      <c r="N280" s="304">
        <f t="shared" ca="1" si="133"/>
        <v>-69.853018141096797</v>
      </c>
      <c r="P280" s="310">
        <f t="shared" ca="1" si="134"/>
        <v>23</v>
      </c>
      <c r="Q280" s="304">
        <f t="shared" ca="1" si="135"/>
        <v>0</v>
      </c>
      <c r="R280" s="306">
        <f t="shared" ca="1" si="136"/>
        <v>0</v>
      </c>
      <c r="S280" s="307">
        <f t="shared" ca="1" si="137"/>
        <v>0.4270000000000001</v>
      </c>
      <c r="T280" s="304">
        <f t="shared" ca="1" si="117"/>
        <v>4.1888700000000014</v>
      </c>
      <c r="U280" s="311">
        <f t="shared" ca="1" si="118"/>
        <v>0</v>
      </c>
      <c r="V280" s="306">
        <f t="shared" ca="1" si="119"/>
        <v>1.1928307411331831</v>
      </c>
      <c r="W280" s="304">
        <f t="shared" ca="1" si="120"/>
        <v>0.76810496899602432</v>
      </c>
      <c r="Y280" s="314" t="str">
        <f t="shared" ca="1" si="138"/>
        <v/>
      </c>
      <c r="Z280" s="315" t="str">
        <f t="shared" ca="1" si="139"/>
        <v/>
      </c>
      <c r="AA280" s="316" t="str">
        <f t="shared" ca="1" si="140"/>
        <v/>
      </c>
      <c r="AC280" s="310" t="e">
        <f t="shared" ca="1" si="141"/>
        <v>#N/A</v>
      </c>
      <c r="AD280" s="323" t="e">
        <f t="shared" ca="1" si="142"/>
        <v>#N/A</v>
      </c>
      <c r="AE280" s="324" t="e">
        <f t="shared" ca="1" si="121"/>
        <v>#N/A</v>
      </c>
      <c r="AG280" s="306">
        <f t="shared" ca="1" si="143"/>
        <v>7.4699248665667533</v>
      </c>
      <c r="AH280" s="304">
        <f t="shared" ca="1" si="144"/>
        <v>-1.6908291850456576</v>
      </c>
    </row>
    <row r="281" spans="1:34" x14ac:dyDescent="0.3">
      <c r="A281" s="347">
        <f t="shared" ca="1" si="122"/>
        <v>0.1</v>
      </c>
      <c r="B281" s="304">
        <f t="shared" ca="1" si="123"/>
        <v>9.6999999999999833</v>
      </c>
      <c r="D281" s="306">
        <f t="shared" ca="1" si="124"/>
        <v>-0.61957401992812511</v>
      </c>
      <c r="E281" s="307">
        <f t="shared" ca="1" si="125"/>
        <v>-8.1212265355114059</v>
      </c>
      <c r="F281" s="304">
        <f t="shared" ca="1" si="126"/>
        <v>8.1448261127702715</v>
      </c>
      <c r="G281" s="306">
        <f t="shared" ca="1" si="127"/>
        <v>8.4361336297302945</v>
      </c>
      <c r="H281" s="307">
        <f t="shared" ca="1" si="128"/>
        <v>-23.975377037341062</v>
      </c>
      <c r="I281" s="304">
        <f t="shared" ca="1" si="129"/>
        <v>25.416275390019827</v>
      </c>
      <c r="J281" s="306">
        <f t="shared" ca="1" si="130"/>
        <v>111.36100934021661</v>
      </c>
      <c r="K281" s="307">
        <f t="shared" ca="1" si="131"/>
        <v>263.7432409475532</v>
      </c>
      <c r="L281" s="304">
        <f t="shared" ca="1" si="116"/>
        <v>286.28966370931198</v>
      </c>
      <c r="M281" s="306">
        <f t="shared" ca="1" si="132"/>
        <v>-1.2324596095362543</v>
      </c>
      <c r="N281" s="304">
        <f t="shared" ca="1" si="133"/>
        <v>-70.61473404676876</v>
      </c>
      <c r="P281" s="310">
        <f t="shared" ca="1" si="134"/>
        <v>23</v>
      </c>
      <c r="Q281" s="304">
        <f t="shared" ca="1" si="135"/>
        <v>0</v>
      </c>
      <c r="R281" s="306">
        <f t="shared" ca="1" si="136"/>
        <v>0</v>
      </c>
      <c r="S281" s="307">
        <f t="shared" ca="1" si="137"/>
        <v>0.4270000000000001</v>
      </c>
      <c r="T281" s="304">
        <f t="shared" ca="1" si="117"/>
        <v>4.1888700000000014</v>
      </c>
      <c r="U281" s="311">
        <f t="shared" ca="1" si="118"/>
        <v>0</v>
      </c>
      <c r="V281" s="306">
        <f t="shared" ca="1" si="119"/>
        <v>1.1931119656601372</v>
      </c>
      <c r="W281" s="304">
        <f t="shared" ca="1" si="120"/>
        <v>0.81527665713275443</v>
      </c>
      <c r="Y281" s="314" t="str">
        <f t="shared" ca="1" si="138"/>
        <v/>
      </c>
      <c r="Z281" s="315" t="str">
        <f t="shared" ca="1" si="139"/>
        <v/>
      </c>
      <c r="AA281" s="316" t="str">
        <f t="shared" ca="1" si="140"/>
        <v/>
      </c>
      <c r="AC281" s="310" t="e">
        <f t="shared" ca="1" si="141"/>
        <v>#N/A</v>
      </c>
      <c r="AD281" s="323" t="e">
        <f t="shared" ca="1" si="142"/>
        <v>#N/A</v>
      </c>
      <c r="AE281" s="324" t="e">
        <f t="shared" ca="1" si="121"/>
        <v>#N/A</v>
      </c>
      <c r="AG281" s="306">
        <f t="shared" ca="1" si="143"/>
        <v>7.4109064121094015</v>
      </c>
      <c r="AH281" s="304">
        <f t="shared" ca="1" si="144"/>
        <v>-1.7988406768056771</v>
      </c>
    </row>
    <row r="282" spans="1:34" x14ac:dyDescent="0.3">
      <c r="A282" s="347">
        <f t="shared" ca="1" si="122"/>
        <v>0.1</v>
      </c>
      <c r="B282" s="304">
        <f t="shared" ca="1" si="123"/>
        <v>9.7999999999999829</v>
      </c>
      <c r="D282" s="306">
        <f t="shared" ca="1" si="124"/>
        <v>-0.63373643395717028</v>
      </c>
      <c r="E282" s="307">
        <f t="shared" ca="1" si="125"/>
        <v>-8.008929674030199</v>
      </c>
      <c r="F282" s="304">
        <f t="shared" ca="1" si="126"/>
        <v>8.0339639276814179</v>
      </c>
      <c r="G282" s="306">
        <f t="shared" ca="1" si="127"/>
        <v>8.372759986334577</v>
      </c>
      <c r="H282" s="307">
        <f t="shared" ca="1" si="128"/>
        <v>-24.776270004744081</v>
      </c>
      <c r="I282" s="304">
        <f t="shared" ca="1" si="129"/>
        <v>26.152756358302781</v>
      </c>
      <c r="J282" s="306">
        <f t="shared" ca="1" si="130"/>
        <v>112.20145402101986</v>
      </c>
      <c r="K282" s="307">
        <f t="shared" ca="1" si="131"/>
        <v>261.30565859544896</v>
      </c>
      <c r="L282" s="304">
        <f t="shared" ca="1" si="116"/>
        <v>284.37618307170584</v>
      </c>
      <c r="M282" s="306">
        <f t="shared" ca="1" si="132"/>
        <v>-1.2449103248538036</v>
      </c>
      <c r="N282" s="304">
        <f t="shared" ca="1" si="133"/>
        <v>-71.328107486383217</v>
      </c>
      <c r="P282" s="310">
        <f t="shared" ca="1" si="134"/>
        <v>23</v>
      </c>
      <c r="Q282" s="304">
        <f t="shared" ca="1" si="135"/>
        <v>0</v>
      </c>
      <c r="R282" s="306">
        <f t="shared" ca="1" si="136"/>
        <v>0</v>
      </c>
      <c r="S282" s="307">
        <f t="shared" ca="1" si="137"/>
        <v>0.4270000000000001</v>
      </c>
      <c r="T282" s="304">
        <f t="shared" ca="1" si="117"/>
        <v>4.1888700000000014</v>
      </c>
      <c r="U282" s="311">
        <f t="shared" ca="1" si="118"/>
        <v>0</v>
      </c>
      <c r="V282" s="306">
        <f t="shared" ca="1" si="119"/>
        <v>1.1934028821070939</v>
      </c>
      <c r="W282" s="304">
        <f t="shared" ca="1" si="120"/>
        <v>0.86341981197504225</v>
      </c>
      <c r="Y282" s="314" t="str">
        <f t="shared" ca="1" si="138"/>
        <v/>
      </c>
      <c r="Z282" s="315" t="str">
        <f t="shared" ca="1" si="139"/>
        <v/>
      </c>
      <c r="AA282" s="316" t="str">
        <f t="shared" ca="1" si="140"/>
        <v/>
      </c>
      <c r="AC282" s="310" t="e">
        <f t="shared" ca="1" si="141"/>
        <v>#N/A</v>
      </c>
      <c r="AD282" s="323" t="e">
        <f t="shared" ca="1" si="142"/>
        <v>#N/A</v>
      </c>
      <c r="AE282" s="324" t="e">
        <f t="shared" ca="1" si="121"/>
        <v>#N/A</v>
      </c>
      <c r="AG282" s="306">
        <f t="shared" ca="1" si="143"/>
        <v>7.3445389024558407</v>
      </c>
      <c r="AH282" s="304">
        <f t="shared" ca="1" si="144"/>
        <v>-1.9093130143624222</v>
      </c>
    </row>
    <row r="283" spans="1:34" x14ac:dyDescent="0.3">
      <c r="A283" s="347">
        <f t="shared" ca="1" si="122"/>
        <v>0.1</v>
      </c>
      <c r="B283" s="304">
        <f t="shared" ca="1" si="123"/>
        <v>9.8999999999999826</v>
      </c>
      <c r="D283" s="306">
        <f t="shared" ca="1" si="124"/>
        <v>-0.64735917661329689</v>
      </c>
      <c r="E283" s="307">
        <f t="shared" ca="1" si="125"/>
        <v>-7.8943657556172866</v>
      </c>
      <c r="F283" s="304">
        <f t="shared" ca="1" si="126"/>
        <v>7.9208638788334405</v>
      </c>
      <c r="G283" s="306">
        <f t="shared" ca="1" si="127"/>
        <v>8.3080240686732481</v>
      </c>
      <c r="H283" s="307">
        <f t="shared" ca="1" si="128"/>
        <v>-25.565706580305811</v>
      </c>
      <c r="I283" s="304">
        <f t="shared" ca="1" si="129"/>
        <v>26.881752488927237</v>
      </c>
      <c r="J283" s="306">
        <f t="shared" ca="1" si="130"/>
        <v>113.03549322377025</v>
      </c>
      <c r="K283" s="307">
        <f t="shared" ca="1" si="131"/>
        <v>258.78855976619644</v>
      </c>
      <c r="L283" s="304">
        <f t="shared" ca="1" si="116"/>
        <v>282.39784240359069</v>
      </c>
      <c r="M283" s="306">
        <f t="shared" ca="1" si="132"/>
        <v>-1.2565938119665387</v>
      </c>
      <c r="N283" s="304">
        <f t="shared" ca="1" si="133"/>
        <v>-71.997521987938427</v>
      </c>
      <c r="P283" s="310">
        <f t="shared" ca="1" si="134"/>
        <v>23</v>
      </c>
      <c r="Q283" s="304">
        <f t="shared" ca="1" si="135"/>
        <v>0</v>
      </c>
      <c r="R283" s="306">
        <f t="shared" ca="1" si="136"/>
        <v>0</v>
      </c>
      <c r="S283" s="307">
        <f t="shared" ca="1" si="137"/>
        <v>0.4270000000000001</v>
      </c>
      <c r="T283" s="304">
        <f t="shared" ca="1" si="117"/>
        <v>4.1888700000000014</v>
      </c>
      <c r="U283" s="311">
        <f t="shared" ca="1" si="118"/>
        <v>0</v>
      </c>
      <c r="V283" s="306">
        <f t="shared" ca="1" si="119"/>
        <v>1.1937033620220332</v>
      </c>
      <c r="W283" s="304">
        <f t="shared" ca="1" si="120"/>
        <v>0.91245522986443039</v>
      </c>
      <c r="Y283" s="314" t="str">
        <f t="shared" ca="1" si="138"/>
        <v/>
      </c>
      <c r="Z283" s="315" t="str">
        <f t="shared" ca="1" si="139"/>
        <v/>
      </c>
      <c r="AA283" s="316" t="str">
        <f t="shared" ca="1" si="140"/>
        <v/>
      </c>
      <c r="AC283" s="310" t="e">
        <f t="shared" ca="1" si="141"/>
        <v>#N/A</v>
      </c>
      <c r="AD283" s="323" t="e">
        <f t="shared" ca="1" si="142"/>
        <v>#N/A</v>
      </c>
      <c r="AE283" s="324" t="e">
        <f t="shared" ca="1" si="121"/>
        <v>#N/A</v>
      </c>
      <c r="AG283" s="306">
        <f t="shared" ca="1" si="143"/>
        <v>7.2716141985649836</v>
      </c>
      <c r="AH283" s="304">
        <f t="shared" ca="1" si="144"/>
        <v>-2.0220604495902625</v>
      </c>
    </row>
    <row r="284" spans="1:34" x14ac:dyDescent="0.3">
      <c r="A284" s="347">
        <f t="shared" ca="1" si="122"/>
        <v>0.1</v>
      </c>
      <c r="B284" s="304">
        <f t="shared" ca="1" si="123"/>
        <v>9.9999999999999822</v>
      </c>
      <c r="D284" s="306">
        <f t="shared" ca="1" si="124"/>
        <v>-0.6604255365538706</v>
      </c>
      <c r="E284" s="307">
        <f t="shared" ca="1" si="125"/>
        <v>-7.7777182749936813</v>
      </c>
      <c r="F284" s="304">
        <f t="shared" ca="1" si="126"/>
        <v>7.8057071079116946</v>
      </c>
      <c r="G284" s="306">
        <f t="shared" ca="1" si="127"/>
        <v>8.2419815150178604</v>
      </c>
      <c r="H284" s="307">
        <f t="shared" ca="1" si="128"/>
        <v>-26.343478407805179</v>
      </c>
      <c r="I284" s="304">
        <f t="shared" ca="1" si="129"/>
        <v>27.602701206881797</v>
      </c>
      <c r="J284" s="306">
        <f t="shared" ca="1" si="130"/>
        <v>113.86299350295481</v>
      </c>
      <c r="K284" s="307">
        <f t="shared" ca="1" si="131"/>
        <v>256.19310051679088</v>
      </c>
      <c r="L284" s="304">
        <f t="shared" ca="1" si="116"/>
        <v>280.35635545116583</v>
      </c>
      <c r="M284" s="306">
        <f t="shared" ca="1" si="132"/>
        <v>-1.2675779586564071</v>
      </c>
      <c r="N284" s="304">
        <f t="shared" ca="1" si="133"/>
        <v>-72.62686723482048</v>
      </c>
      <c r="P284" s="310">
        <f t="shared" ca="1" si="134"/>
        <v>23</v>
      </c>
      <c r="Q284" s="304">
        <f t="shared" ca="1" si="135"/>
        <v>0</v>
      </c>
      <c r="R284" s="306">
        <f t="shared" ca="1" si="136"/>
        <v>0</v>
      </c>
      <c r="S284" s="307">
        <f t="shared" ca="1" si="137"/>
        <v>0.4270000000000001</v>
      </c>
      <c r="T284" s="304">
        <f t="shared" ca="1" si="117"/>
        <v>4.1888700000000014</v>
      </c>
      <c r="U284" s="311">
        <f t="shared" ca="1" si="118"/>
        <v>0</v>
      </c>
      <c r="V284" s="306">
        <f t="shared" ca="1" si="119"/>
        <v>1.1940132744513519</v>
      </c>
      <c r="W284" s="304">
        <f t="shared" ca="1" si="120"/>
        <v>0.96230405379175243</v>
      </c>
      <c r="Y284" s="314" t="str">
        <f t="shared" ca="1" si="138"/>
        <v/>
      </c>
      <c r="Z284" s="315" t="str">
        <f t="shared" ca="1" si="139"/>
        <v/>
      </c>
      <c r="AA284" s="316" t="str">
        <f t="shared" ca="1" si="140"/>
        <v/>
      </c>
      <c r="AC284" s="310">
        <f t="shared" ca="1" si="141"/>
        <v>9.9999999999999822</v>
      </c>
      <c r="AD284" s="323">
        <f t="shared" ca="1" si="142"/>
        <v>113.86299350295481</v>
      </c>
      <c r="AE284" s="324" t="e">
        <f t="shared" ca="1" si="121"/>
        <v>#N/A</v>
      </c>
      <c r="AG284" s="306">
        <f t="shared" ca="1" si="143"/>
        <v>7.1928358134076014</v>
      </c>
      <c r="AH284" s="304">
        <f t="shared" ca="1" si="144"/>
        <v>-2.1368974938277052</v>
      </c>
    </row>
    <row r="285" spans="1:34" x14ac:dyDescent="0.3">
      <c r="A285" s="347">
        <f t="shared" ca="1" si="122"/>
        <v>0.1</v>
      </c>
      <c r="B285" s="304">
        <f t="shared" ca="1" si="123"/>
        <v>10.099999999999982</v>
      </c>
      <c r="D285" s="306">
        <f t="shared" ca="1" si="124"/>
        <v>-0.67292163603856858</v>
      </c>
      <c r="E285" s="307">
        <f t="shared" ca="1" si="125"/>
        <v>-7.6591705475405263</v>
      </c>
      <c r="F285" s="304">
        <f t="shared" ca="1" si="126"/>
        <v>7.6886745934888587</v>
      </c>
      <c r="G285" s="306">
        <f t="shared" ca="1" si="127"/>
        <v>8.1746893514140027</v>
      </c>
      <c r="H285" s="307">
        <f t="shared" ca="1" si="128"/>
        <v>-27.109395462559231</v>
      </c>
      <c r="I285" s="304">
        <f t="shared" ca="1" si="129"/>
        <v>28.31509965261554</v>
      </c>
      <c r="J285" s="306">
        <f t="shared" ca="1" si="130"/>
        <v>114.68382704627641</v>
      </c>
      <c r="K285" s="307">
        <f t="shared" ca="1" si="131"/>
        <v>253.52045682327267</v>
      </c>
      <c r="L285" s="304">
        <f t="shared" ca="1" si="116"/>
        <v>278.25348553766776</v>
      </c>
      <c r="M285" s="306">
        <f t="shared" ca="1" si="132"/>
        <v>-1.2779231543754093</v>
      </c>
      <c r="N285" s="304">
        <f t="shared" ca="1" si="133"/>
        <v>-73.219603287756115</v>
      </c>
      <c r="P285" s="310">
        <f t="shared" ca="1" si="134"/>
        <v>23</v>
      </c>
      <c r="Q285" s="304">
        <f t="shared" ca="1" si="135"/>
        <v>0</v>
      </c>
      <c r="R285" s="306">
        <f t="shared" ca="1" si="136"/>
        <v>0</v>
      </c>
      <c r="S285" s="307">
        <f t="shared" ca="1" si="137"/>
        <v>0.4270000000000001</v>
      </c>
      <c r="T285" s="304">
        <f t="shared" ca="1" si="117"/>
        <v>4.1888700000000014</v>
      </c>
      <c r="U285" s="311">
        <f t="shared" ca="1" si="118"/>
        <v>0</v>
      </c>
      <c r="V285" s="306">
        <f t="shared" ca="1" si="119"/>
        <v>1.1943324861452536</v>
      </c>
      <c r="W285" s="304">
        <f t="shared" ca="1" si="120"/>
        <v>1.0128879997600826</v>
      </c>
      <c r="Y285" s="314" t="str">
        <f t="shared" ca="1" si="138"/>
        <v/>
      </c>
      <c r="Z285" s="315" t="str">
        <f t="shared" ca="1" si="139"/>
        <v/>
      </c>
      <c r="AA285" s="316" t="str">
        <f t="shared" ca="1" si="140"/>
        <v/>
      </c>
      <c r="AC285" s="310" t="e">
        <f t="shared" ca="1" si="141"/>
        <v>#N/A</v>
      </c>
      <c r="AD285" s="323" t="e">
        <f t="shared" ca="1" si="142"/>
        <v>#N/A</v>
      </c>
      <c r="AE285" s="324" t="e">
        <f t="shared" ca="1" si="121"/>
        <v>#N/A</v>
      </c>
      <c r="AG285" s="306">
        <f t="shared" ca="1" si="143"/>
        <v>7.1088327473770665</v>
      </c>
      <c r="AH285" s="304">
        <f t="shared" ca="1" si="144"/>
        <v>-2.2536394702382956</v>
      </c>
    </row>
    <row r="286" spans="1:34" x14ac:dyDescent="0.3">
      <c r="A286" s="347">
        <f t="shared" ca="1" si="122"/>
        <v>0.1</v>
      </c>
      <c r="B286" s="304">
        <f t="shared" ca="1" si="123"/>
        <v>10.199999999999982</v>
      </c>
      <c r="D286" s="306">
        <f t="shared" ca="1" si="124"/>
        <v>-0.68483620865229244</v>
      </c>
      <c r="E286" s="307">
        <f t="shared" ca="1" si="125"/>
        <v>-7.5389050617900981</v>
      </c>
      <c r="F286" s="304">
        <f t="shared" ca="1" si="126"/>
        <v>7.5699465099408467</v>
      </c>
      <c r="G286" s="306">
        <f t="shared" ca="1" si="127"/>
        <v>8.1062057305487727</v>
      </c>
      <c r="H286" s="307">
        <f t="shared" ca="1" si="128"/>
        <v>-27.863285968738239</v>
      </c>
      <c r="I286" s="304">
        <f t="shared" ca="1" si="129"/>
        <v>29.018498864029251</v>
      </c>
      <c r="J286" s="306">
        <f t="shared" ca="1" si="130"/>
        <v>115.49787180037454</v>
      </c>
      <c r="K286" s="307">
        <f t="shared" ca="1" si="131"/>
        <v>250.77182275170779</v>
      </c>
      <c r="L286" s="304">
        <f t="shared" ca="1" si="116"/>
        <v>276.09104562920851</v>
      </c>
      <c r="M286" s="306">
        <f t="shared" ca="1" si="132"/>
        <v>-1.2876832511417555</v>
      </c>
      <c r="N286" s="304">
        <f t="shared" ca="1" si="133"/>
        <v>-73.778815640107041</v>
      </c>
      <c r="P286" s="310">
        <f t="shared" ca="1" si="134"/>
        <v>23</v>
      </c>
      <c r="Q286" s="304">
        <f t="shared" ca="1" si="135"/>
        <v>0</v>
      </c>
      <c r="R286" s="306">
        <f t="shared" ca="1" si="136"/>
        <v>0</v>
      </c>
      <c r="S286" s="307">
        <f t="shared" ca="1" si="137"/>
        <v>0.4270000000000001</v>
      </c>
      <c r="T286" s="304">
        <f t="shared" ca="1" si="117"/>
        <v>4.1888700000000014</v>
      </c>
      <c r="U286" s="311">
        <f t="shared" ca="1" si="118"/>
        <v>0</v>
      </c>
      <c r="V286" s="306">
        <f t="shared" ca="1" si="119"/>
        <v>1.1946608617627397</v>
      </c>
      <c r="W286" s="304">
        <f t="shared" ca="1" si="120"/>
        <v>1.0641295726640549</v>
      </c>
      <c r="Y286" s="314" t="str">
        <f t="shared" ca="1" si="138"/>
        <v/>
      </c>
      <c r="Z286" s="315" t="str">
        <f t="shared" ca="1" si="139"/>
        <v/>
      </c>
      <c r="AA286" s="316" t="str">
        <f t="shared" ca="1" si="140"/>
        <v/>
      </c>
      <c r="AC286" s="310" t="e">
        <f t="shared" ca="1" si="141"/>
        <v>#N/A</v>
      </c>
      <c r="AD286" s="323" t="e">
        <f t="shared" ca="1" si="142"/>
        <v>#N/A</v>
      </c>
      <c r="AE286" s="324" t="e">
        <f t="shared" ca="1" si="121"/>
        <v>#N/A</v>
      </c>
      <c r="AG286" s="306">
        <f t="shared" ca="1" si="143"/>
        <v>7.0201707870049201</v>
      </c>
      <c r="AH286" s="304">
        <f t="shared" ca="1" si="144"/>
        <v>-2.3721030439346191</v>
      </c>
    </row>
    <row r="287" spans="1:34" x14ac:dyDescent="0.3">
      <c r="A287" s="347">
        <f t="shared" ca="1" si="122"/>
        <v>0.1</v>
      </c>
      <c r="B287" s="304">
        <f t="shared" ca="1" si="123"/>
        <v>10.299999999999981</v>
      </c>
      <c r="D287" s="306">
        <f t="shared" ca="1" si="124"/>
        <v>-0.6961604020478902</v>
      </c>
      <c r="E287" s="307">
        <f t="shared" ca="1" si="125"/>
        <v>-7.4171028780737611</v>
      </c>
      <c r="F287" s="304">
        <f t="shared" ca="1" si="126"/>
        <v>7.4497016322339755</v>
      </c>
      <c r="G287" s="306">
        <f t="shared" ca="1" si="127"/>
        <v>8.036589690343984</v>
      </c>
      <c r="H287" s="307">
        <f t="shared" ca="1" si="128"/>
        <v>-28.604996256545615</v>
      </c>
      <c r="I287" s="304">
        <f t="shared" ca="1" si="129"/>
        <v>29.71249879575819</v>
      </c>
      <c r="J287" s="306">
        <f t="shared" ca="1" si="130"/>
        <v>116.30501157141917</v>
      </c>
      <c r="K287" s="307">
        <f t="shared" ca="1" si="131"/>
        <v>247.9484086404436</v>
      </c>
      <c r="L287" s="304">
        <f t="shared" ca="1" si="116"/>
        <v>273.870898534248</v>
      </c>
      <c r="M287" s="306">
        <f t="shared" ca="1" si="132"/>
        <v>-1.2969063882919163</v>
      </c>
      <c r="N287" s="304">
        <f t="shared" ca="1" si="133"/>
        <v>-74.307262472681572</v>
      </c>
      <c r="P287" s="310">
        <f t="shared" ca="1" si="134"/>
        <v>23</v>
      </c>
      <c r="Q287" s="304">
        <f t="shared" ca="1" si="135"/>
        <v>0</v>
      </c>
      <c r="R287" s="306">
        <f t="shared" ca="1" si="136"/>
        <v>0</v>
      </c>
      <c r="S287" s="307">
        <f t="shared" ca="1" si="137"/>
        <v>0.4270000000000001</v>
      </c>
      <c r="T287" s="304">
        <f t="shared" ca="1" si="117"/>
        <v>4.1888700000000014</v>
      </c>
      <c r="U287" s="311">
        <f t="shared" ca="1" si="118"/>
        <v>0</v>
      </c>
      <c r="V287" s="306">
        <f t="shared" ca="1" si="119"/>
        <v>1.1949982640754924</v>
      </c>
      <c r="W287" s="304">
        <f t="shared" ca="1" si="120"/>
        <v>1.1159522708403284</v>
      </c>
      <c r="Y287" s="314" t="str">
        <f t="shared" ca="1" si="138"/>
        <v/>
      </c>
      <c r="Z287" s="315" t="str">
        <f t="shared" ca="1" si="139"/>
        <v/>
      </c>
      <c r="AA287" s="316" t="str">
        <f t="shared" ca="1" si="140"/>
        <v/>
      </c>
      <c r="AC287" s="310" t="e">
        <f t="shared" ca="1" si="141"/>
        <v>#N/A</v>
      </c>
      <c r="AD287" s="323" t="e">
        <f t="shared" ca="1" si="142"/>
        <v>#N/A</v>
      </c>
      <c r="AE287" s="324" t="e">
        <f t="shared" ca="1" si="121"/>
        <v>#N/A</v>
      </c>
      <c r="AG287" s="306">
        <f t="shared" ca="1" si="143"/>
        <v>6.9273617513013832</v>
      </c>
      <c r="AH287" s="304">
        <f t="shared" ca="1" si="144"/>
        <v>-2.4921067275504796</v>
      </c>
    </row>
    <row r="288" spans="1:34" x14ac:dyDescent="0.3">
      <c r="A288" s="347">
        <f t="shared" ca="1" si="122"/>
        <v>0.1</v>
      </c>
      <c r="B288" s="304">
        <f t="shared" ca="1" si="123"/>
        <v>10.399999999999981</v>
      </c>
      <c r="D288" s="306">
        <f t="shared" ca="1" si="124"/>
        <v>-0.70688760088560654</v>
      </c>
      <c r="E288" s="307">
        <f t="shared" ca="1" si="125"/>
        <v>-7.2939430708492736</v>
      </c>
      <c r="F288" s="304">
        <f t="shared" ca="1" si="126"/>
        <v>7.3281167840773351</v>
      </c>
      <c r="G288" s="306">
        <f t="shared" ca="1" si="127"/>
        <v>7.9659009302554233</v>
      </c>
      <c r="H288" s="307">
        <f t="shared" ca="1" si="128"/>
        <v>-29.334390563630542</v>
      </c>
      <c r="I288" s="304">
        <f t="shared" ca="1" si="129"/>
        <v>30.396744025804161</v>
      </c>
      <c r="J288" s="306">
        <f t="shared" ca="1" si="130"/>
        <v>117.10513610244914</v>
      </c>
      <c r="K288" s="307">
        <f t="shared" ca="1" si="131"/>
        <v>245.0514392994348</v>
      </c>
      <c r="L288" s="304">
        <f t="shared" ca="1" si="116"/>
        <v>271.59495725123048</v>
      </c>
      <c r="M288" s="306">
        <f t="shared" ca="1" si="132"/>
        <v>-1.3056357014845943</v>
      </c>
      <c r="N288" s="304">
        <f t="shared" ca="1" si="133"/>
        <v>-74.807415276669886</v>
      </c>
      <c r="P288" s="310">
        <f t="shared" ca="1" si="134"/>
        <v>23</v>
      </c>
      <c r="Q288" s="304">
        <f t="shared" ca="1" si="135"/>
        <v>0</v>
      </c>
      <c r="R288" s="306">
        <f t="shared" ca="1" si="136"/>
        <v>0</v>
      </c>
      <c r="S288" s="307">
        <f t="shared" ca="1" si="137"/>
        <v>0.4270000000000001</v>
      </c>
      <c r="T288" s="304">
        <f t="shared" ca="1" si="117"/>
        <v>4.1888700000000014</v>
      </c>
      <c r="U288" s="311">
        <f t="shared" ca="1" si="118"/>
        <v>0</v>
      </c>
      <c r="V288" s="306">
        <f t="shared" ca="1" si="119"/>
        <v>1.1953445541700047</v>
      </c>
      <c r="W288" s="304">
        <f t="shared" ca="1" si="120"/>
        <v>1.1682807785828568</v>
      </c>
      <c r="Y288" s="314" t="str">
        <f t="shared" ca="1" si="138"/>
        <v/>
      </c>
      <c r="Z288" s="315" t="str">
        <f t="shared" ca="1" si="139"/>
        <v/>
      </c>
      <c r="AA288" s="316" t="str">
        <f t="shared" ca="1" si="140"/>
        <v/>
      </c>
      <c r="AC288" s="310" t="e">
        <f t="shared" ca="1" si="141"/>
        <v>#N/A</v>
      </c>
      <c r="AD288" s="323" t="e">
        <f t="shared" ca="1" si="142"/>
        <v>#N/A</v>
      </c>
      <c r="AE288" s="324" t="e">
        <f t="shared" ca="1" si="121"/>
        <v>#N/A</v>
      </c>
      <c r="AG288" s="306">
        <f t="shared" ca="1" si="143"/>
        <v>6.8308710764025768</v>
      </c>
      <c r="AH288" s="304">
        <f t="shared" ca="1" si="144"/>
        <v>-2.6134713602817992</v>
      </c>
    </row>
    <row r="289" spans="1:34" x14ac:dyDescent="0.3">
      <c r="A289" s="347">
        <f t="shared" ca="1" si="122"/>
        <v>0.1</v>
      </c>
      <c r="B289" s="304">
        <f t="shared" ca="1" si="123"/>
        <v>10.49999999999998</v>
      </c>
      <c r="D289" s="306">
        <f t="shared" ca="1" si="124"/>
        <v>-0.71701326614387906</v>
      </c>
      <c r="E289" s="307">
        <f t="shared" ca="1" si="125"/>
        <v>-7.1696022129169892</v>
      </c>
      <c r="F289" s="304">
        <f t="shared" ca="1" si="126"/>
        <v>7.2053663276262707</v>
      </c>
      <c r="G289" s="306">
        <f t="shared" ca="1" si="127"/>
        <v>7.8941996036410353</v>
      </c>
      <c r="H289" s="307">
        <f t="shared" ca="1" si="128"/>
        <v>-30.051350784922242</v>
      </c>
      <c r="I289" s="304">
        <f t="shared" ca="1" si="129"/>
        <v>31.070920027906688</v>
      </c>
      <c r="J289" s="306">
        <f t="shared" ca="1" si="130"/>
        <v>117.89814112914397</v>
      </c>
      <c r="K289" s="307">
        <f t="shared" ca="1" si="131"/>
        <v>242.08215223200716</v>
      </c>
      <c r="L289" s="304">
        <f t="shared" ca="1" si="116"/>
        <v>269.26518547890339</v>
      </c>
      <c r="M289" s="306">
        <f t="shared" ca="1" si="132"/>
        <v>-1.3139099333043296</v>
      </c>
      <c r="N289" s="304">
        <f t="shared" ca="1" si="133"/>
        <v>-75.281493838653574</v>
      </c>
      <c r="P289" s="310">
        <f t="shared" ca="1" si="134"/>
        <v>23</v>
      </c>
      <c r="Q289" s="304">
        <f t="shared" ca="1" si="135"/>
        <v>0</v>
      </c>
      <c r="R289" s="306">
        <f t="shared" ca="1" si="136"/>
        <v>0</v>
      </c>
      <c r="S289" s="307">
        <f t="shared" ca="1" si="137"/>
        <v>0.4270000000000001</v>
      </c>
      <c r="T289" s="304">
        <f t="shared" ca="1" si="117"/>
        <v>4.1888700000000014</v>
      </c>
      <c r="U289" s="311">
        <f t="shared" ca="1" si="118"/>
        <v>0</v>
      </c>
      <c r="V289" s="306">
        <f t="shared" ca="1" si="119"/>
        <v>1.1956995916473436</v>
      </c>
      <c r="W289" s="304">
        <f t="shared" ca="1" si="120"/>
        <v>1.2210411460508721</v>
      </c>
      <c r="Y289" s="314" t="str">
        <f t="shared" ca="1" si="138"/>
        <v/>
      </c>
      <c r="Z289" s="315" t="str">
        <f t="shared" ca="1" si="139"/>
        <v/>
      </c>
      <c r="AA289" s="316" t="str">
        <f t="shared" ca="1" si="140"/>
        <v/>
      </c>
      <c r="AC289" s="310" t="e">
        <f t="shared" ca="1" si="141"/>
        <v>#N/A</v>
      </c>
      <c r="AD289" s="323" t="e">
        <f t="shared" ca="1" si="142"/>
        <v>#N/A</v>
      </c>
      <c r="AE289" s="324" t="e">
        <f t="shared" ca="1" si="121"/>
        <v>#N/A</v>
      </c>
      <c r="AG289" s="306">
        <f t="shared" ca="1" si="143"/>
        <v>6.7311240533560035</v>
      </c>
      <c r="AH289" s="304">
        <f t="shared" ca="1" si="144"/>
        <v>-2.736020558742053</v>
      </c>
    </row>
    <row r="290" spans="1:34" x14ac:dyDescent="0.3">
      <c r="A290" s="347">
        <f t="shared" ca="1" si="122"/>
        <v>0.1</v>
      </c>
      <c r="B290" s="304">
        <f t="shared" ca="1" si="123"/>
        <v>10.59999999999998</v>
      </c>
      <c r="D290" s="306">
        <f t="shared" ca="1" si="124"/>
        <v>-0.72653478777623492</v>
      </c>
      <c r="E290" s="307">
        <f t="shared" ca="1" si="125"/>
        <v>-7.0442539001873614</v>
      </c>
      <c r="F290" s="304">
        <f t="shared" ca="1" si="126"/>
        <v>7.0816216933802609</v>
      </c>
      <c r="G290" s="306">
        <f t="shared" ca="1" si="127"/>
        <v>7.8215461248634117</v>
      </c>
      <c r="H290" s="307">
        <f t="shared" ca="1" si="128"/>
        <v>-30.75577617494098</v>
      </c>
      <c r="I290" s="304">
        <f t="shared" ca="1" si="129"/>
        <v>31.734749910885274</v>
      </c>
      <c r="J290" s="306">
        <f t="shared" ca="1" si="130"/>
        <v>118.68392841556918</v>
      </c>
      <c r="K290" s="307">
        <f t="shared" ca="1" si="131"/>
        <v>239.04179588401399</v>
      </c>
      <c r="L290" s="304">
        <f t="shared" ca="1" si="116"/>
        <v>266.88359830384212</v>
      </c>
      <c r="M290" s="306">
        <f t="shared" ca="1" si="132"/>
        <v>-1.3217639601665676</v>
      </c>
      <c r="N290" s="304">
        <f t="shared" ca="1" si="133"/>
        <v>-75.731496430042185</v>
      </c>
      <c r="P290" s="310">
        <f t="shared" ca="1" si="134"/>
        <v>23</v>
      </c>
      <c r="Q290" s="304">
        <f t="shared" ca="1" si="135"/>
        <v>0</v>
      </c>
      <c r="R290" s="306">
        <f t="shared" ca="1" si="136"/>
        <v>0</v>
      </c>
      <c r="S290" s="307">
        <f t="shared" ca="1" si="137"/>
        <v>0.4270000000000001</v>
      </c>
      <c r="T290" s="304">
        <f t="shared" ca="1" si="117"/>
        <v>4.1888700000000014</v>
      </c>
      <c r="U290" s="311">
        <f t="shared" ca="1" si="118"/>
        <v>0</v>
      </c>
      <c r="V290" s="306">
        <f t="shared" ca="1" si="119"/>
        <v>1.1960632348199933</v>
      </c>
      <c r="W290" s="304">
        <f t="shared" ca="1" si="120"/>
        <v>1.2741609561266902</v>
      </c>
      <c r="Y290" s="314" t="str">
        <f t="shared" ca="1" si="138"/>
        <v/>
      </c>
      <c r="Z290" s="315" t="str">
        <f t="shared" ca="1" si="139"/>
        <v/>
      </c>
      <c r="AA290" s="316" t="str">
        <f t="shared" ca="1" si="140"/>
        <v/>
      </c>
      <c r="AC290" s="310" t="e">
        <f t="shared" ca="1" si="141"/>
        <v>#N/A</v>
      </c>
      <c r="AD290" s="323" t="e">
        <f t="shared" ca="1" si="142"/>
        <v>#N/A</v>
      </c>
      <c r="AE290" s="324" t="e">
        <f t="shared" ca="1" si="121"/>
        <v>#N/A</v>
      </c>
      <c r="AG290" s="306">
        <f t="shared" ca="1" si="143"/>
        <v>6.6285109727652944</v>
      </c>
      <c r="AH290" s="304">
        <f t="shared" ca="1" si="144"/>
        <v>-2.8595811382924397</v>
      </c>
    </row>
    <row r="291" spans="1:34" x14ac:dyDescent="0.3">
      <c r="A291" s="347">
        <f t="shared" ca="1" si="122"/>
        <v>0.1</v>
      </c>
      <c r="B291" s="304">
        <f t="shared" ca="1" si="123"/>
        <v>10.69999999999998</v>
      </c>
      <c r="D291" s="306">
        <f t="shared" ca="1" si="124"/>
        <v>-0.73545134833006998</v>
      </c>
      <c r="E291" s="307">
        <f t="shared" ca="1" si="125"/>
        <v>-6.918068315943966</v>
      </c>
      <c r="F291" s="304">
        <f t="shared" ca="1" si="126"/>
        <v>6.9570509492045769</v>
      </c>
      <c r="G291" s="306">
        <f t="shared" ca="1" si="127"/>
        <v>7.7480009900304045</v>
      </c>
      <c r="H291" s="307">
        <f t="shared" ca="1" si="128"/>
        <v>-31.447583006535375</v>
      </c>
      <c r="I291" s="304">
        <f t="shared" ca="1" si="129"/>
        <v>32.387991544621052</v>
      </c>
      <c r="J291" s="306">
        <f t="shared" ca="1" si="130"/>
        <v>119.46240577131387</v>
      </c>
      <c r="K291" s="307">
        <f t="shared" ca="1" si="131"/>
        <v>235.93162792494019</v>
      </c>
      <c r="L291" s="304">
        <f t="shared" ca="1" si="116"/>
        <v>264.45226307971438</v>
      </c>
      <c r="M291" s="306">
        <f t="shared" ca="1" si="132"/>
        <v>-1.32922924795729</v>
      </c>
      <c r="N291" s="304">
        <f t="shared" ca="1" si="133"/>
        <v>-76.159225913301114</v>
      </c>
      <c r="P291" s="310">
        <f t="shared" ca="1" si="134"/>
        <v>23</v>
      </c>
      <c r="Q291" s="304">
        <f t="shared" ca="1" si="135"/>
        <v>0</v>
      </c>
      <c r="R291" s="306">
        <f t="shared" ca="1" si="136"/>
        <v>0</v>
      </c>
      <c r="S291" s="307">
        <f t="shared" ca="1" si="137"/>
        <v>0.4270000000000001</v>
      </c>
      <c r="T291" s="304">
        <f t="shared" ca="1" si="117"/>
        <v>4.1888700000000014</v>
      </c>
      <c r="U291" s="311">
        <f t="shared" ca="1" si="118"/>
        <v>0</v>
      </c>
      <c r="V291" s="306">
        <f t="shared" ca="1" si="119"/>
        <v>1.1964353409052619</v>
      </c>
      <c r="W291" s="304">
        <f t="shared" ca="1" si="120"/>
        <v>1.3275694779040319</v>
      </c>
      <c r="Y291" s="314" t="str">
        <f t="shared" ca="1" si="138"/>
        <v/>
      </c>
      <c r="Z291" s="315" t="str">
        <f t="shared" ca="1" si="139"/>
        <v/>
      </c>
      <c r="AA291" s="316" t="str">
        <f t="shared" ca="1" si="140"/>
        <v/>
      </c>
      <c r="AC291" s="310" t="e">
        <f t="shared" ca="1" si="141"/>
        <v>#N/A</v>
      </c>
      <c r="AD291" s="323" t="e">
        <f t="shared" ca="1" si="142"/>
        <v>#N/A</v>
      </c>
      <c r="AE291" s="324" t="e">
        <f t="shared" ca="1" si="121"/>
        <v>#N/A</v>
      </c>
      <c r="AG291" s="306">
        <f t="shared" ca="1" si="143"/>
        <v>6.5233913809277579</v>
      </c>
      <c r="AH291" s="304">
        <f t="shared" ca="1" si="144"/>
        <v>-2.9839835038095783</v>
      </c>
    </row>
    <row r="292" spans="1:34" x14ac:dyDescent="0.3">
      <c r="A292" s="347">
        <f t="shared" ca="1" si="122"/>
        <v>0.1</v>
      </c>
      <c r="B292" s="304">
        <f t="shared" ca="1" si="123"/>
        <v>10.799999999999979</v>
      </c>
      <c r="D292" s="306">
        <f t="shared" ca="1" si="124"/>
        <v>-0.74376379565610995</v>
      </c>
      <c r="E292" s="307">
        <f t="shared" ca="1" si="125"/>
        <v>-6.7912118337042777</v>
      </c>
      <c r="F292" s="304">
        <f t="shared" ca="1" si="126"/>
        <v>6.8318184075671837</v>
      </c>
      <c r="G292" s="306">
        <f t="shared" ca="1" si="127"/>
        <v>7.6736246104647936</v>
      </c>
      <c r="H292" s="307">
        <f t="shared" ca="1" si="128"/>
        <v>-32.126704189905801</v>
      </c>
      <c r="I292" s="304">
        <f t="shared" ca="1" si="129"/>
        <v>33.030435007248116</v>
      </c>
      <c r="J292" s="306">
        <f t="shared" ca="1" si="130"/>
        <v>120.23348705133863</v>
      </c>
      <c r="K292" s="307">
        <f t="shared" ca="1" si="131"/>
        <v>232.75291356511812</v>
      </c>
      <c r="L292" s="304">
        <f t="shared" ca="1" si="116"/>
        <v>261.97330051281131</v>
      </c>
      <c r="M292" s="306">
        <f t="shared" ca="1" si="132"/>
        <v>-1.3363342469108377</v>
      </c>
      <c r="N292" s="304">
        <f t="shared" ca="1" si="133"/>
        <v>-76.566312366784274</v>
      </c>
      <c r="P292" s="310">
        <f t="shared" ca="1" si="134"/>
        <v>23</v>
      </c>
      <c r="Q292" s="304">
        <f t="shared" ca="1" si="135"/>
        <v>0</v>
      </c>
      <c r="R292" s="306">
        <f t="shared" ca="1" si="136"/>
        <v>0</v>
      </c>
      <c r="S292" s="307">
        <f t="shared" ca="1" si="137"/>
        <v>0.4270000000000001</v>
      </c>
      <c r="T292" s="304">
        <f t="shared" ca="1" si="117"/>
        <v>4.1888700000000014</v>
      </c>
      <c r="U292" s="311">
        <f t="shared" ca="1" si="118"/>
        <v>0</v>
      </c>
      <c r="V292" s="306">
        <f t="shared" ca="1" si="119"/>
        <v>1.1968157662147789</v>
      </c>
      <c r="W292" s="304">
        <f t="shared" ca="1" si="120"/>
        <v>1.3811978066050732</v>
      </c>
      <c r="Y292" s="314" t="str">
        <f t="shared" ca="1" si="138"/>
        <v/>
      </c>
      <c r="Z292" s="315" t="str">
        <f t="shared" ca="1" si="139"/>
        <v/>
      </c>
      <c r="AA292" s="316" t="str">
        <f t="shared" ca="1" si="140"/>
        <v/>
      </c>
      <c r="AC292" s="310" t="e">
        <f t="shared" ca="1" si="141"/>
        <v>#N/A</v>
      </c>
      <c r="AD292" s="323" t="e">
        <f t="shared" ca="1" si="142"/>
        <v>#N/A</v>
      </c>
      <c r="AE292" s="324" t="e">
        <f t="shared" ca="1" si="121"/>
        <v>#N/A</v>
      </c>
      <c r="AG292" s="306">
        <f t="shared" ca="1" si="143"/>
        <v>6.416097612721531</v>
      </c>
      <c r="AH292" s="304">
        <f t="shared" ca="1" si="144"/>
        <v>-3.1090620091429311</v>
      </c>
    </row>
    <row r="293" spans="1:34" x14ac:dyDescent="0.3">
      <c r="A293" s="347">
        <f t="shared" ca="1" si="122"/>
        <v>0.1</v>
      </c>
      <c r="B293" s="304">
        <f t="shared" ca="1" si="123"/>
        <v>10.899999999999979</v>
      </c>
      <c r="D293" s="306">
        <f t="shared" ca="1" si="124"/>
        <v>-0.75147452324751851</v>
      </c>
      <c r="E293" s="307">
        <f t="shared" ca="1" si="125"/>
        <v>-6.6638466578493203</v>
      </c>
      <c r="F293" s="304">
        <f t="shared" ca="1" si="126"/>
        <v>6.7060842701549497</v>
      </c>
      <c r="G293" s="306">
        <f t="shared" ca="1" si="127"/>
        <v>7.5984771581400414</v>
      </c>
      <c r="H293" s="307">
        <f t="shared" ca="1" si="128"/>
        <v>-32.793088855690733</v>
      </c>
      <c r="I293" s="304">
        <f t="shared" ca="1" si="129"/>
        <v>33.661900300191071</v>
      </c>
      <c r="J293" s="306">
        <f t="shared" ca="1" si="130"/>
        <v>120.99709213976887</v>
      </c>
      <c r="K293" s="307">
        <f t="shared" ca="1" si="131"/>
        <v>229.50692391283829</v>
      </c>
      <c r="L293" s="304">
        <f t="shared" ca="1" si="116"/>
        <v>259.44888596834068</v>
      </c>
      <c r="M293" s="306">
        <f t="shared" ca="1" si="132"/>
        <v>-1.343104734597544</v>
      </c>
      <c r="N293" s="304">
        <f t="shared" ca="1" si="133"/>
        <v>-76.954232736477834</v>
      </c>
      <c r="P293" s="310">
        <f t="shared" ca="1" si="134"/>
        <v>23</v>
      </c>
      <c r="Q293" s="304">
        <f t="shared" ca="1" si="135"/>
        <v>0</v>
      </c>
      <c r="R293" s="306">
        <f t="shared" ca="1" si="136"/>
        <v>0</v>
      </c>
      <c r="S293" s="307">
        <f t="shared" ca="1" si="137"/>
        <v>0.4270000000000001</v>
      </c>
      <c r="T293" s="304">
        <f t="shared" ca="1" si="117"/>
        <v>4.1888700000000014</v>
      </c>
      <c r="U293" s="311">
        <f t="shared" ca="1" si="118"/>
        <v>0</v>
      </c>
      <c r="V293" s="306">
        <f t="shared" ca="1" si="119"/>
        <v>1.197204366339657</v>
      </c>
      <c r="W293" s="304">
        <f t="shared" ca="1" si="120"/>
        <v>1.4349789898352854</v>
      </c>
      <c r="Y293" s="314" t="str">
        <f t="shared" ca="1" si="138"/>
        <v/>
      </c>
      <c r="Z293" s="315" t="str">
        <f t="shared" ca="1" si="139"/>
        <v/>
      </c>
      <c r="AA293" s="316" t="str">
        <f t="shared" ca="1" si="140"/>
        <v/>
      </c>
      <c r="AC293" s="310" t="e">
        <f t="shared" ca="1" si="141"/>
        <v>#N/A</v>
      </c>
      <c r="AD293" s="323" t="e">
        <f t="shared" ca="1" si="142"/>
        <v>#N/A</v>
      </c>
      <c r="AE293" s="324" t="e">
        <f t="shared" ca="1" si="121"/>
        <v>#N/A</v>
      </c>
      <c r="AG293" s="306">
        <f t="shared" ca="1" si="143"/>
        <v>6.3069377349155324</v>
      </c>
      <c r="AH293" s="304">
        <f t="shared" ca="1" si="144"/>
        <v>-3.2346552847893979</v>
      </c>
    </row>
    <row r="294" spans="1:34" x14ac:dyDescent="0.3">
      <c r="A294" s="347">
        <f t="shared" ca="1" si="122"/>
        <v>0.1</v>
      </c>
      <c r="B294" s="304">
        <f t="shared" ca="1" si="123"/>
        <v>10.999999999999979</v>
      </c>
      <c r="D294" s="306">
        <f t="shared" ca="1" si="124"/>
        <v>-0.75858735707498992</v>
      </c>
      <c r="E294" s="307">
        <f t="shared" ca="1" si="125"/>
        <v>-6.5361305011999278</v>
      </c>
      <c r="F294" s="304">
        <f t="shared" ca="1" si="126"/>
        <v>6.5800043090434253</v>
      </c>
      <c r="G294" s="306">
        <f t="shared" ca="1" si="127"/>
        <v>7.5226184224325428</v>
      </c>
      <c r="H294" s="307">
        <f t="shared" ca="1" si="128"/>
        <v>-33.446701905810727</v>
      </c>
      <c r="I294" s="304">
        <f t="shared" ca="1" si="129"/>
        <v>34.28223528747337</v>
      </c>
      <c r="J294" s="306">
        <f t="shared" ca="1" si="130"/>
        <v>121.7531469187975</v>
      </c>
      <c r="K294" s="307">
        <f t="shared" ca="1" si="131"/>
        <v>226.19493437476322</v>
      </c>
      <c r="L294" s="304">
        <f t="shared" ca="1" si="116"/>
        <v>256.88125101189019</v>
      </c>
      <c r="M294" s="306">
        <f t="shared" ca="1" si="132"/>
        <v>-1.3495641145172617</v>
      </c>
      <c r="N294" s="304">
        <f t="shared" ca="1" si="133"/>
        <v>-77.324327944149204</v>
      </c>
      <c r="P294" s="310">
        <f t="shared" ca="1" si="134"/>
        <v>23</v>
      </c>
      <c r="Q294" s="304">
        <f t="shared" ca="1" si="135"/>
        <v>0</v>
      </c>
      <c r="R294" s="306">
        <f t="shared" ca="1" si="136"/>
        <v>0</v>
      </c>
      <c r="S294" s="307">
        <f t="shared" ca="1" si="137"/>
        <v>0.4270000000000001</v>
      </c>
      <c r="T294" s="304">
        <f t="shared" ca="1" si="117"/>
        <v>4.1888700000000014</v>
      </c>
      <c r="U294" s="311">
        <f t="shared" ca="1" si="118"/>
        <v>0</v>
      </c>
      <c r="V294" s="306">
        <f t="shared" ca="1" si="119"/>
        <v>1.1976009963309346</v>
      </c>
      <c r="W294" s="304">
        <f t="shared" ca="1" si="120"/>
        <v>1.4888481401888676</v>
      </c>
      <c r="Y294" s="314" t="str">
        <f t="shared" ca="1" si="138"/>
        <v/>
      </c>
      <c r="Z294" s="315" t="str">
        <f t="shared" ca="1" si="139"/>
        <v/>
      </c>
      <c r="AA294" s="316" t="str">
        <f t="shared" ca="1" si="140"/>
        <v/>
      </c>
      <c r="AC294" s="310">
        <f t="shared" ca="1" si="141"/>
        <v>10.999999999999979</v>
      </c>
      <c r="AD294" s="323">
        <f t="shared" ca="1" si="142"/>
        <v>121.7531469187975</v>
      </c>
      <c r="AE294" s="324" t="e">
        <f t="shared" ca="1" si="121"/>
        <v>#N/A</v>
      </c>
      <c r="AG294" s="306">
        <f t="shared" ca="1" si="143"/>
        <v>6.19619800822319</v>
      </c>
      <c r="AH294" s="304">
        <f t="shared" ca="1" si="144"/>
        <v>-3.360606533572096</v>
      </c>
    </row>
    <row r="295" spans="1:34" x14ac:dyDescent="0.3">
      <c r="A295" s="347">
        <f t="shared" ca="1" si="122"/>
        <v>0.1</v>
      </c>
      <c r="B295" s="304">
        <f t="shared" ca="1" si="123"/>
        <v>11.099999999999978</v>
      </c>
      <c r="D295" s="306">
        <f t="shared" ca="1" si="124"/>
        <v>-0.76510744804488562</v>
      </c>
      <c r="E295" s="307">
        <f t="shared" ca="1" si="125"/>
        <v>-6.4082162986810296</v>
      </c>
      <c r="F295" s="304">
        <f t="shared" ca="1" si="126"/>
        <v>6.4537295835613495</v>
      </c>
      <c r="G295" s="306">
        <f t="shared" ca="1" si="127"/>
        <v>7.4461076776280546</v>
      </c>
      <c r="H295" s="307">
        <f t="shared" ca="1" si="128"/>
        <v>-34.087523535678827</v>
      </c>
      <c r="I295" s="304">
        <f t="shared" ca="1" si="129"/>
        <v>34.891313823676654</v>
      </c>
      <c r="J295" s="306">
        <f t="shared" ca="1" si="130"/>
        <v>122.50158322380052</v>
      </c>
      <c r="K295" s="307">
        <f t="shared" ca="1" si="131"/>
        <v>222.81822310268873</v>
      </c>
      <c r="L295" s="304">
        <f t="shared" ca="1" si="116"/>
        <v>254.27268520031265</v>
      </c>
      <c r="M295" s="306">
        <f t="shared" ca="1" si="132"/>
        <v>-1.3557336766379522</v>
      </c>
      <c r="N295" s="304">
        <f t="shared" ca="1" si="133"/>
        <v>-77.677817815108554</v>
      </c>
      <c r="P295" s="310">
        <f t="shared" ca="1" si="134"/>
        <v>23</v>
      </c>
      <c r="Q295" s="304">
        <f t="shared" ca="1" si="135"/>
        <v>0</v>
      </c>
      <c r="R295" s="306">
        <f t="shared" ca="1" si="136"/>
        <v>0</v>
      </c>
      <c r="S295" s="307">
        <f t="shared" ca="1" si="137"/>
        <v>0.4270000000000001</v>
      </c>
      <c r="T295" s="304">
        <f t="shared" ca="1" si="117"/>
        <v>4.1888700000000014</v>
      </c>
      <c r="U295" s="311">
        <f t="shared" ca="1" si="118"/>
        <v>0</v>
      </c>
      <c r="V295" s="306">
        <f t="shared" ca="1" si="119"/>
        <v>1.1980055108749414</v>
      </c>
      <c r="W295" s="304">
        <f t="shared" ca="1" si="120"/>
        <v>1.5427425343138137</v>
      </c>
      <c r="Y295" s="314" t="str">
        <f t="shared" ca="1" si="138"/>
        <v/>
      </c>
      <c r="Z295" s="315" t="str">
        <f t="shared" ca="1" si="139"/>
        <v/>
      </c>
      <c r="AA295" s="316" t="str">
        <f t="shared" ca="1" si="140"/>
        <v/>
      </c>
      <c r="AC295" s="310" t="e">
        <f t="shared" ca="1" si="141"/>
        <v>#N/A</v>
      </c>
      <c r="AD295" s="323" t="e">
        <f t="shared" ca="1" si="142"/>
        <v>#N/A</v>
      </c>
      <c r="AE295" s="324" t="e">
        <f t="shared" ca="1" si="121"/>
        <v>#N/A</v>
      </c>
      <c r="AG295" s="306">
        <f t="shared" ca="1" si="143"/>
        <v>6.084144956042385</v>
      </c>
      <c r="AH295" s="304">
        <f t="shared" ca="1" si="144"/>
        <v>-3.486763794353319</v>
      </c>
    </row>
    <row r="296" spans="1:34" x14ac:dyDescent="0.3">
      <c r="A296" s="347">
        <f t="shared" ca="1" si="122"/>
        <v>0.1</v>
      </c>
      <c r="B296" s="304">
        <f t="shared" ca="1" si="123"/>
        <v>11.199999999999978</v>
      </c>
      <c r="D296" s="306">
        <f t="shared" ca="1" si="124"/>
        <v>-0.77104116941447531</v>
      </c>
      <c r="E296" s="307">
        <f t="shared" ca="1" si="125"/>
        <v>-6.2802519561514547</v>
      </c>
      <c r="F296" s="304">
        <f t="shared" ca="1" si="126"/>
        <v>6.3274061919301667</v>
      </c>
      <c r="G296" s="306">
        <f t="shared" ca="1" si="127"/>
        <v>7.3690035606866067</v>
      </c>
      <c r="H296" s="307">
        <f t="shared" ca="1" si="128"/>
        <v>-34.715548731293971</v>
      </c>
      <c r="I296" s="304">
        <f t="shared" ca="1" si="129"/>
        <v>35.489034041408601</v>
      </c>
      <c r="J296" s="306">
        <f t="shared" ca="1" si="130"/>
        <v>123.24233878571626</v>
      </c>
      <c r="K296" s="307">
        <f t="shared" ca="1" si="131"/>
        <v>219.37806948934011</v>
      </c>
      <c r="L296" s="304">
        <f t="shared" ca="1" si="116"/>
        <v>251.62553813602267</v>
      </c>
      <c r="M296" s="306">
        <f t="shared" ca="1" si="132"/>
        <v>-1.3616328252465466</v>
      </c>
      <c r="N296" s="304">
        <f t="shared" ca="1" si="133"/>
        <v>-78.015814133101486</v>
      </c>
      <c r="P296" s="310">
        <f t="shared" ca="1" si="134"/>
        <v>23</v>
      </c>
      <c r="Q296" s="304">
        <f t="shared" ca="1" si="135"/>
        <v>0</v>
      </c>
      <c r="R296" s="306">
        <f t="shared" ca="1" si="136"/>
        <v>0</v>
      </c>
      <c r="S296" s="307">
        <f t="shared" ca="1" si="137"/>
        <v>0.4270000000000001</v>
      </c>
      <c r="T296" s="304">
        <f t="shared" ca="1" si="117"/>
        <v>4.1888700000000014</v>
      </c>
      <c r="U296" s="311">
        <f t="shared" ca="1" si="118"/>
        <v>0</v>
      </c>
      <c r="V296" s="306">
        <f t="shared" ca="1" si="119"/>
        <v>1.1984177644632936</v>
      </c>
      <c r="W296" s="304">
        <f t="shared" ca="1" si="120"/>
        <v>1.5966016986340634</v>
      </c>
      <c r="Y296" s="314" t="str">
        <f t="shared" ca="1" si="138"/>
        <v/>
      </c>
      <c r="Z296" s="315" t="str">
        <f t="shared" ca="1" si="139"/>
        <v/>
      </c>
      <c r="AA296" s="316" t="str">
        <f t="shared" ca="1" si="140"/>
        <v/>
      </c>
      <c r="AC296" s="310" t="e">
        <f t="shared" ca="1" si="141"/>
        <v>#N/A</v>
      </c>
      <c r="AD296" s="323" t="e">
        <f t="shared" ca="1" si="142"/>
        <v>#N/A</v>
      </c>
      <c r="AE296" s="324" t="e">
        <f t="shared" ca="1" si="121"/>
        <v>#N/A</v>
      </c>
      <c r="AG296" s="306">
        <f t="shared" ca="1" si="143"/>
        <v>5.9710271114121074</v>
      </c>
      <c r="AH296" s="304">
        <f t="shared" ca="1" si="144"/>
        <v>-3.6129801740370335</v>
      </c>
    </row>
    <row r="297" spans="1:34" x14ac:dyDescent="0.3">
      <c r="A297" s="347">
        <f t="shared" ca="1" si="122"/>
        <v>0.1</v>
      </c>
      <c r="B297" s="304">
        <f t="shared" ca="1" si="123"/>
        <v>11.299999999999978</v>
      </c>
      <c r="D297" s="306">
        <f t="shared" ca="1" si="124"/>
        <v>-0.7763960186619473</v>
      </c>
      <c r="E297" s="307">
        <f t="shared" ca="1" si="125"/>
        <v>-6.1523801333962034</v>
      </c>
      <c r="F297" s="304">
        <f t="shared" ca="1" si="126"/>
        <v>6.2011750566809845</v>
      </c>
      <c r="G297" s="306">
        <f t="shared" ca="1" si="127"/>
        <v>7.291363958820412</v>
      </c>
      <c r="H297" s="307">
        <f t="shared" ca="1" si="128"/>
        <v>-35.330786744633592</v>
      </c>
      <c r="I297" s="304">
        <f t="shared" ca="1" si="129"/>
        <v>36.07531677442018</v>
      </c>
      <c r="J297" s="306">
        <f t="shared" ca="1" si="130"/>
        <v>123.9753571616916</v>
      </c>
      <c r="K297" s="307">
        <f t="shared" ca="1" si="131"/>
        <v>215.87575271554374</v>
      </c>
      <c r="L297" s="304">
        <f t="shared" ca="1" si="116"/>
        <v>248.94222179829518</v>
      </c>
      <c r="M297" s="306">
        <f t="shared" ca="1" si="132"/>
        <v>-1.3672792786629708</v>
      </c>
      <c r="N297" s="304">
        <f t="shared" ca="1" si="133"/>
        <v>-78.339332083079825</v>
      </c>
      <c r="P297" s="310">
        <f t="shared" ca="1" si="134"/>
        <v>23</v>
      </c>
      <c r="Q297" s="304">
        <f t="shared" ca="1" si="135"/>
        <v>0</v>
      </c>
      <c r="R297" s="306">
        <f t="shared" ca="1" si="136"/>
        <v>0</v>
      </c>
      <c r="S297" s="307">
        <f t="shared" ca="1" si="137"/>
        <v>0.4270000000000001</v>
      </c>
      <c r="T297" s="304">
        <f t="shared" ca="1" si="117"/>
        <v>4.1888700000000014</v>
      </c>
      <c r="U297" s="311">
        <f t="shared" ca="1" si="118"/>
        <v>0</v>
      </c>
      <c r="V297" s="306">
        <f t="shared" ca="1" si="119"/>
        <v>1.1988376115572419</v>
      </c>
      <c r="W297" s="304">
        <f t="shared" ca="1" si="120"/>
        <v>1.6503674820065231</v>
      </c>
      <c r="Y297" s="314" t="str">
        <f t="shared" ca="1" si="138"/>
        <v/>
      </c>
      <c r="Z297" s="315" t="str">
        <f t="shared" ca="1" si="139"/>
        <v/>
      </c>
      <c r="AA297" s="316" t="str">
        <f t="shared" ca="1" si="140"/>
        <v/>
      </c>
      <c r="AC297" s="310" t="e">
        <f t="shared" ca="1" si="141"/>
        <v>#N/A</v>
      </c>
      <c r="AD297" s="323" t="e">
        <f t="shared" ca="1" si="142"/>
        <v>#N/A</v>
      </c>
      <c r="AE297" s="324" t="e">
        <f t="shared" ca="1" si="121"/>
        <v>#N/A</v>
      </c>
      <c r="AG297" s="306">
        <f t="shared" ca="1" si="143"/>
        <v>5.8570765004706713</v>
      </c>
      <c r="AH297" s="304">
        <f t="shared" ca="1" si="144"/>
        <v>-3.7391140483233327</v>
      </c>
    </row>
    <row r="298" spans="1:34" x14ac:dyDescent="0.3">
      <c r="A298" s="347">
        <f t="shared" ca="1" si="122"/>
        <v>0.1</v>
      </c>
      <c r="B298" s="304">
        <f t="shared" ca="1" si="123"/>
        <v>11.399999999999977</v>
      </c>
      <c r="D298" s="306">
        <f t="shared" ca="1" si="124"/>
        <v>-0.78118052343737443</v>
      </c>
      <c r="E298" s="307">
        <f t="shared" ca="1" si="125"/>
        <v>-6.0247380601897458</v>
      </c>
      <c r="F298" s="304">
        <f t="shared" ca="1" si="126"/>
        <v>6.0751717427655318</v>
      </c>
      <c r="G298" s="306">
        <f t="shared" ca="1" si="127"/>
        <v>7.2132459064766747</v>
      </c>
      <c r="H298" s="307">
        <f t="shared" ca="1" si="128"/>
        <v>-35.93326055065257</v>
      </c>
      <c r="I298" s="304">
        <f t="shared" ca="1" si="129"/>
        <v>36.650104096828791</v>
      </c>
      <c r="J298" s="306">
        <f t="shared" ca="1" si="130"/>
        <v>124.70058765495646</v>
      </c>
      <c r="K298" s="307">
        <f t="shared" ca="1" si="131"/>
        <v>212.31255035077942</v>
      </c>
      <c r="L298" s="304">
        <f t="shared" ca="1" si="116"/>
        <v>246.22521316458176</v>
      </c>
      <c r="M298" s="306">
        <f t="shared" ca="1" si="132"/>
        <v>-1.3726892446824392</v>
      </c>
      <c r="N298" s="304">
        <f t="shared" ca="1" si="133"/>
        <v>-78.649300303304557</v>
      </c>
      <c r="P298" s="310">
        <f t="shared" ca="1" si="134"/>
        <v>23</v>
      </c>
      <c r="Q298" s="304">
        <f t="shared" ca="1" si="135"/>
        <v>0</v>
      </c>
      <c r="R298" s="306">
        <f t="shared" ca="1" si="136"/>
        <v>0</v>
      </c>
      <c r="S298" s="307">
        <f t="shared" ca="1" si="137"/>
        <v>0.4270000000000001</v>
      </c>
      <c r="T298" s="304">
        <f t="shared" ca="1" si="117"/>
        <v>4.1888700000000014</v>
      </c>
      <c r="U298" s="311">
        <f t="shared" ca="1" si="118"/>
        <v>0</v>
      </c>
      <c r="V298" s="306">
        <f t="shared" ca="1" si="119"/>
        <v>1.1992649067461416</v>
      </c>
      <c r="W298" s="304">
        <f t="shared" ca="1" si="120"/>
        <v>1.7039841156628621</v>
      </c>
      <c r="Y298" s="314" t="str">
        <f t="shared" ca="1" si="138"/>
        <v/>
      </c>
      <c r="Z298" s="315" t="str">
        <f t="shared" ca="1" si="139"/>
        <v/>
      </c>
      <c r="AA298" s="316" t="str">
        <f t="shared" ca="1" si="140"/>
        <v/>
      </c>
      <c r="AC298" s="310" t="e">
        <f t="shared" ca="1" si="141"/>
        <v>#N/A</v>
      </c>
      <c r="AD298" s="323" t="e">
        <f t="shared" ca="1" si="142"/>
        <v>#N/A</v>
      </c>
      <c r="AE298" s="324" t="e">
        <f t="shared" ca="1" si="121"/>
        <v>#N/A</v>
      </c>
      <c r="AG298" s="306">
        <f t="shared" ca="1" si="143"/>
        <v>5.7425099099839372</v>
      </c>
      <c r="AH298" s="304">
        <f t="shared" ca="1" si="144"/>
        <v>-3.8650292318653925</v>
      </c>
    </row>
    <row r="299" spans="1:34" x14ac:dyDescent="0.3">
      <c r="A299" s="347">
        <f t="shared" ca="1" si="122"/>
        <v>0.1</v>
      </c>
      <c r="B299" s="304">
        <f t="shared" ca="1" si="123"/>
        <v>11.499999999999977</v>
      </c>
      <c r="D299" s="306">
        <f t="shared" ca="1" si="124"/>
        <v>-0.7854041513210045</v>
      </c>
      <c r="E299" s="307">
        <f t="shared" ca="1" si="125"/>
        <v>-5.8974573842489502</v>
      </c>
      <c r="F299" s="304">
        <f t="shared" ca="1" si="126"/>
        <v>5.9495263071899043</v>
      </c>
      <c r="G299" s="306">
        <f t="shared" ca="1" si="127"/>
        <v>7.1347054913445742</v>
      </c>
      <c r="H299" s="307">
        <f t="shared" ca="1" si="128"/>
        <v>-36.523006289077465</v>
      </c>
      <c r="I299" s="304">
        <f t="shared" ca="1" si="129"/>
        <v>37.21335796243352</v>
      </c>
      <c r="J299" s="306">
        <f t="shared" ca="1" si="130"/>
        <v>125.41798522484753</v>
      </c>
      <c r="K299" s="307">
        <f t="shared" ca="1" si="131"/>
        <v>208.68973700879292</v>
      </c>
      <c r="L299" s="304">
        <f t="shared" ca="1" si="116"/>
        <v>243.47705713405364</v>
      </c>
      <c r="M299" s="306">
        <f t="shared" ca="1" si="132"/>
        <v>-1.3778775750346046</v>
      </c>
      <c r="N299" s="304">
        <f t="shared" ca="1" si="133"/>
        <v>-78.946569735203255</v>
      </c>
      <c r="P299" s="310">
        <f t="shared" ca="1" si="134"/>
        <v>23</v>
      </c>
      <c r="Q299" s="304">
        <f t="shared" ca="1" si="135"/>
        <v>0</v>
      </c>
      <c r="R299" s="306">
        <f t="shared" ca="1" si="136"/>
        <v>0</v>
      </c>
      <c r="S299" s="307">
        <f t="shared" ca="1" si="137"/>
        <v>0.4270000000000001</v>
      </c>
      <c r="T299" s="304">
        <f t="shared" ca="1" si="117"/>
        <v>4.1888700000000014</v>
      </c>
      <c r="U299" s="311">
        <f t="shared" ca="1" si="118"/>
        <v>0</v>
      </c>
      <c r="V299" s="306">
        <f t="shared" ca="1" si="119"/>
        <v>1.1996995048998551</v>
      </c>
      <c r="W299" s="304">
        <f t="shared" ca="1" si="120"/>
        <v>1.7573982608499263</v>
      </c>
      <c r="Y299" s="314" t="str">
        <f t="shared" ca="1" si="138"/>
        <v/>
      </c>
      <c r="Z299" s="315" t="str">
        <f t="shared" ca="1" si="139"/>
        <v/>
      </c>
      <c r="AA299" s="316" t="str">
        <f t="shared" ca="1" si="140"/>
        <v/>
      </c>
      <c r="AC299" s="310" t="e">
        <f t="shared" ca="1" si="141"/>
        <v>#N/A</v>
      </c>
      <c r="AD299" s="323" t="e">
        <f t="shared" ca="1" si="142"/>
        <v>#N/A</v>
      </c>
      <c r="AE299" s="324" t="e">
        <f t="shared" ca="1" si="121"/>
        <v>#N/A</v>
      </c>
      <c r="AG299" s="306">
        <f t="shared" ca="1" si="143"/>
        <v>5.6275299778203784</v>
      </c>
      <c r="AH299" s="304">
        <f t="shared" ca="1" si="144"/>
        <v>-3.9905951186483879</v>
      </c>
    </row>
    <row r="300" spans="1:34" x14ac:dyDescent="0.3">
      <c r="A300" s="347">
        <f t="shared" ca="1" si="122"/>
        <v>0.1</v>
      </c>
      <c r="B300" s="304">
        <f t="shared" ca="1" si="123"/>
        <v>11.599999999999977</v>
      </c>
      <c r="D300" s="306">
        <f t="shared" ca="1" si="124"/>
        <v>-0.78907722319244844</v>
      </c>
      <c r="E300" s="307">
        <f t="shared" ca="1" si="125"/>
        <v>-5.7706640498072783</v>
      </c>
      <c r="F300" s="304">
        <f t="shared" ca="1" si="126"/>
        <v>5.8243631789148624</v>
      </c>
      <c r="G300" s="306">
        <f t="shared" ca="1" si="127"/>
        <v>7.0557977690253297</v>
      </c>
      <c r="H300" s="307">
        <f t="shared" ca="1" si="128"/>
        <v>-37.100072694058191</v>
      </c>
      <c r="I300" s="304">
        <f t="shared" ca="1" si="129"/>
        <v>37.765058930998443</v>
      </c>
      <c r="J300" s="306">
        <f t="shared" ca="1" si="130"/>
        <v>126.12751038786602</v>
      </c>
      <c r="K300" s="307">
        <f t="shared" ca="1" si="131"/>
        <v>205.00858305963612</v>
      </c>
      <c r="L300" s="304">
        <f t="shared" ca="1" si="116"/>
        <v>240.70036976448745</v>
      </c>
      <c r="M300" s="306">
        <f t="shared" ca="1" si="132"/>
        <v>-1.3828579016629479</v>
      </c>
      <c r="N300" s="304">
        <f t="shared" ca="1" si="133"/>
        <v>-79.231921431603936</v>
      </c>
      <c r="P300" s="310">
        <f t="shared" ca="1" si="134"/>
        <v>23</v>
      </c>
      <c r="Q300" s="304">
        <f t="shared" ca="1" si="135"/>
        <v>0</v>
      </c>
      <c r="R300" s="306">
        <f t="shared" ca="1" si="136"/>
        <v>0</v>
      </c>
      <c r="S300" s="307">
        <f t="shared" ca="1" si="137"/>
        <v>0.4270000000000001</v>
      </c>
      <c r="T300" s="304">
        <f t="shared" ca="1" si="117"/>
        <v>4.1888700000000014</v>
      </c>
      <c r="U300" s="311">
        <f t="shared" ca="1" si="118"/>
        <v>0</v>
      </c>
      <c r="V300" s="306">
        <f t="shared" ca="1" si="119"/>
        <v>1.2001412613149185</v>
      </c>
      <c r="W300" s="304">
        <f t="shared" ca="1" si="120"/>
        <v>1.8105590446382529</v>
      </c>
      <c r="Y300" s="314" t="str">
        <f t="shared" ca="1" si="138"/>
        <v/>
      </c>
      <c r="Z300" s="315" t="str">
        <f t="shared" ca="1" si="139"/>
        <v/>
      </c>
      <c r="AA300" s="316" t="str">
        <f t="shared" ca="1" si="140"/>
        <v/>
      </c>
      <c r="AC300" s="310" t="e">
        <f t="shared" ca="1" si="141"/>
        <v>#N/A</v>
      </c>
      <c r="AD300" s="323" t="e">
        <f t="shared" ca="1" si="142"/>
        <v>#N/A</v>
      </c>
      <c r="AE300" s="324" t="e">
        <f t="shared" ca="1" si="121"/>
        <v>#N/A</v>
      </c>
      <c r="AG300" s="306">
        <f t="shared" ca="1" si="143"/>
        <v>5.5123261381823436</v>
      </c>
      <c r="AH300" s="304">
        <f t="shared" ca="1" si="144"/>
        <v>-4.1156867935595454</v>
      </c>
    </row>
    <row r="301" spans="1:34" x14ac:dyDescent="0.3">
      <c r="A301" s="347">
        <f t="shared" ca="1" si="122"/>
        <v>0.1</v>
      </c>
      <c r="B301" s="304">
        <f t="shared" ca="1" si="123"/>
        <v>11.699999999999976</v>
      </c>
      <c r="D301" s="306">
        <f t="shared" ca="1" si="124"/>
        <v>-0.79221083007302406</v>
      </c>
      <c r="E301" s="307">
        <f t="shared" ca="1" si="125"/>
        <v>-5.6444782054617519</v>
      </c>
      <c r="F301" s="304">
        <f t="shared" ca="1" si="126"/>
        <v>5.6998010676880391</v>
      </c>
      <c r="G301" s="306">
        <f t="shared" ca="1" si="127"/>
        <v>6.9765766860180269</v>
      </c>
      <c r="H301" s="307">
        <f t="shared" ca="1" si="128"/>
        <v>-37.664520514604369</v>
      </c>
      <c r="I301" s="304">
        <f t="shared" ca="1" si="129"/>
        <v>38.305204970747035</v>
      </c>
      <c r="J301" s="306">
        <f t="shared" ca="1" si="130"/>
        <v>126.8291291106182</v>
      </c>
      <c r="K301" s="307">
        <f t="shared" ca="1" si="131"/>
        <v>201.270353399203</v>
      </c>
      <c r="L301" s="304">
        <f t="shared" ca="1" si="116"/>
        <v>237.89784183215687</v>
      </c>
      <c r="M301" s="306">
        <f t="shared" ca="1" si="132"/>
        <v>-1.3876427572189411</v>
      </c>
      <c r="N301" s="304">
        <f t="shared" ca="1" si="133"/>
        <v>-79.506073460542069</v>
      </c>
      <c r="P301" s="310">
        <f t="shared" ca="1" si="134"/>
        <v>23</v>
      </c>
      <c r="Q301" s="304">
        <f t="shared" ca="1" si="135"/>
        <v>0</v>
      </c>
      <c r="R301" s="306">
        <f t="shared" ca="1" si="136"/>
        <v>0</v>
      </c>
      <c r="S301" s="307">
        <f t="shared" ca="1" si="137"/>
        <v>0.4270000000000001</v>
      </c>
      <c r="T301" s="304">
        <f t="shared" ca="1" si="117"/>
        <v>4.1888700000000014</v>
      </c>
      <c r="U301" s="311">
        <f t="shared" ca="1" si="118"/>
        <v>0</v>
      </c>
      <c r="V301" s="306">
        <f t="shared" ca="1" si="119"/>
        <v>1.2005900318543548</v>
      </c>
      <c r="W301" s="304">
        <f t="shared" ca="1" si="120"/>
        <v>1.8634180844158288</v>
      </c>
      <c r="Y301" s="314" t="str">
        <f t="shared" ca="1" si="138"/>
        <v/>
      </c>
      <c r="Z301" s="315" t="str">
        <f t="shared" ca="1" si="139"/>
        <v/>
      </c>
      <c r="AA301" s="316" t="str">
        <f t="shared" ca="1" si="140"/>
        <v/>
      </c>
      <c r="AC301" s="310" t="e">
        <f t="shared" ca="1" si="141"/>
        <v>#N/A</v>
      </c>
      <c r="AD301" s="323" t="e">
        <f t="shared" ca="1" si="142"/>
        <v>#N/A</v>
      </c>
      <c r="AE301" s="324" t="e">
        <f t="shared" ca="1" si="121"/>
        <v>#N/A</v>
      </c>
      <c r="AG301" s="306">
        <f t="shared" ca="1" si="143"/>
        <v>5.3970754476416349</v>
      </c>
      <c r="AH301" s="304">
        <f t="shared" ca="1" si="144"/>
        <v>-4.2401851162488349</v>
      </c>
    </row>
    <row r="302" spans="1:34" x14ac:dyDescent="0.3">
      <c r="A302" s="347">
        <f t="shared" ca="1" si="122"/>
        <v>0.1</v>
      </c>
      <c r="B302" s="304">
        <f t="shared" ca="1" si="123"/>
        <v>11.799999999999976</v>
      </c>
      <c r="D302" s="306">
        <f t="shared" ca="1" si="124"/>
        <v>-0.79481675334717328</v>
      </c>
      <c r="E302" s="307">
        <f t="shared" ca="1" si="125"/>
        <v>-5.5190141398728843</v>
      </c>
      <c r="F302" s="304">
        <f t="shared" ca="1" si="126"/>
        <v>5.5759529004034976</v>
      </c>
      <c r="G302" s="306">
        <f t="shared" ca="1" si="127"/>
        <v>6.8970950106833095</v>
      </c>
      <c r="H302" s="307">
        <f t="shared" ca="1" si="128"/>
        <v>-38.216421928591657</v>
      </c>
      <c r="I302" s="304">
        <f t="shared" ca="1" si="129"/>
        <v>38.833810328250479</v>
      </c>
      <c r="J302" s="306">
        <f t="shared" ca="1" si="130"/>
        <v>127.52281269545327</v>
      </c>
      <c r="K302" s="307">
        <f t="shared" ca="1" si="131"/>
        <v>197.47630627704319</v>
      </c>
      <c r="L302" s="304">
        <f t="shared" ca="1" si="116"/>
        <v>235.07224272249633</v>
      </c>
      <c r="M302" s="306">
        <f t="shared" ca="1" si="132"/>
        <v>-1.3922436818204433</v>
      </c>
      <c r="N302" s="304">
        <f t="shared" ca="1" si="133"/>
        <v>-79.769687022066066</v>
      </c>
      <c r="P302" s="310">
        <f t="shared" ca="1" si="134"/>
        <v>23</v>
      </c>
      <c r="Q302" s="304">
        <f t="shared" ca="1" si="135"/>
        <v>0</v>
      </c>
      <c r="R302" s="306">
        <f t="shared" ca="1" si="136"/>
        <v>0</v>
      </c>
      <c r="S302" s="307">
        <f t="shared" ca="1" si="137"/>
        <v>0.4270000000000001</v>
      </c>
      <c r="T302" s="304">
        <f t="shared" ca="1" si="117"/>
        <v>4.1888700000000014</v>
      </c>
      <c r="U302" s="311">
        <f t="shared" ca="1" si="118"/>
        <v>0</v>
      </c>
      <c r="V302" s="306">
        <f t="shared" ca="1" si="119"/>
        <v>1.2010456730810279</v>
      </c>
      <c r="W302" s="304">
        <f t="shared" ca="1" si="120"/>
        <v>1.9159295016239808</v>
      </c>
      <c r="Y302" s="314" t="str">
        <f t="shared" ca="1" si="138"/>
        <v/>
      </c>
      <c r="Z302" s="315" t="str">
        <f t="shared" ca="1" si="139"/>
        <v/>
      </c>
      <c r="AA302" s="316" t="str">
        <f t="shared" ca="1" si="140"/>
        <v/>
      </c>
      <c r="AC302" s="310" t="e">
        <f t="shared" ca="1" si="141"/>
        <v>#N/A</v>
      </c>
      <c r="AD302" s="323" t="e">
        <f t="shared" ca="1" si="142"/>
        <v>#N/A</v>
      </c>
      <c r="AE302" s="324" t="e">
        <f t="shared" ca="1" si="121"/>
        <v>#N/A</v>
      </c>
      <c r="AG302" s="306">
        <f t="shared" ca="1" si="143"/>
        <v>5.2819433133196361</v>
      </c>
      <c r="AH302" s="304">
        <f t="shared" ca="1" si="144"/>
        <v>-4.3639767784914012</v>
      </c>
    </row>
    <row r="303" spans="1:34" x14ac:dyDescent="0.3">
      <c r="A303" s="347">
        <f t="shared" ca="1" si="122"/>
        <v>0.1</v>
      </c>
      <c r="B303" s="304">
        <f t="shared" ca="1" si="123"/>
        <v>11.899999999999975</v>
      </c>
      <c r="D303" s="306">
        <f t="shared" ca="1" si="124"/>
        <v>-0.79690738830053132</v>
      </c>
      <c r="E303" s="307">
        <f t="shared" ca="1" si="125"/>
        <v>-5.3943802438371948</v>
      </c>
      <c r="F303" s="304">
        <f t="shared" ca="1" si="126"/>
        <v>5.4529257835247495</v>
      </c>
      <c r="G303" s="306">
        <f t="shared" ca="1" si="127"/>
        <v>6.8174042718532561</v>
      </c>
      <c r="H303" s="307">
        <f t="shared" ca="1" si="128"/>
        <v>-38.755859952975378</v>
      </c>
      <c r="I303" s="304">
        <f t="shared" ca="1" si="129"/>
        <v>39.350904458481303</v>
      </c>
      <c r="J303" s="306">
        <f t="shared" ca="1" si="130"/>
        <v>128.20853765958009</v>
      </c>
      <c r="K303" s="307">
        <f t="shared" ca="1" si="131"/>
        <v>193.62769218296484</v>
      </c>
      <c r="L303" s="304">
        <f t="shared" ca="1" si="116"/>
        <v>232.22642465686147</v>
      </c>
      <c r="M303" s="306">
        <f t="shared" ca="1" si="132"/>
        <v>-1.396671317832088</v>
      </c>
      <c r="N303" s="304">
        <f t="shared" ca="1" si="133"/>
        <v>-80.023371878753437</v>
      </c>
      <c r="P303" s="310">
        <f t="shared" ca="1" si="134"/>
        <v>23</v>
      </c>
      <c r="Q303" s="304">
        <f t="shared" ca="1" si="135"/>
        <v>0</v>
      </c>
      <c r="R303" s="306">
        <f t="shared" ca="1" si="136"/>
        <v>0</v>
      </c>
      <c r="S303" s="307">
        <f t="shared" ca="1" si="137"/>
        <v>0.4270000000000001</v>
      </c>
      <c r="T303" s="304">
        <f t="shared" ca="1" si="117"/>
        <v>4.1888700000000014</v>
      </c>
      <c r="U303" s="311">
        <f t="shared" ca="1" si="118"/>
        <v>0</v>
      </c>
      <c r="V303" s="306">
        <f t="shared" ca="1" si="119"/>
        <v>1.2015080423844846</v>
      </c>
      <c r="W303" s="304">
        <f t="shared" ca="1" si="120"/>
        <v>1.9680499253244308</v>
      </c>
      <c r="Y303" s="314" t="str">
        <f t="shared" ca="1" si="138"/>
        <v/>
      </c>
      <c r="Z303" s="315" t="str">
        <f t="shared" ca="1" si="139"/>
        <v/>
      </c>
      <c r="AA303" s="316" t="str">
        <f t="shared" ca="1" si="140"/>
        <v/>
      </c>
      <c r="AC303" s="310" t="e">
        <f t="shared" ca="1" si="141"/>
        <v>#N/A</v>
      </c>
      <c r="AD303" s="323" t="e">
        <f t="shared" ca="1" si="142"/>
        <v>#N/A</v>
      </c>
      <c r="AE303" s="324" t="e">
        <f t="shared" ca="1" si="121"/>
        <v>#N/A</v>
      </c>
      <c r="AG303" s="306">
        <f t="shared" ca="1" si="143"/>
        <v>5.1670841406964518</v>
      </c>
      <c r="AH303" s="304">
        <f t="shared" ca="1" si="144"/>
        <v>-4.4869543363559261</v>
      </c>
    </row>
    <row r="304" spans="1:34" x14ac:dyDescent="0.3">
      <c r="A304" s="347">
        <f t="shared" ca="1" si="122"/>
        <v>0.1</v>
      </c>
      <c r="B304" s="304">
        <f t="shared" ca="1" si="123"/>
        <v>11.999999999999975</v>
      </c>
      <c r="D304" s="306">
        <f t="shared" ca="1" si="124"/>
        <v>-0.7984956709341553</v>
      </c>
      <c r="E304" s="307">
        <f t="shared" ca="1" si="125"/>
        <v>-5.270678997203035</v>
      </c>
      <c r="F304" s="304">
        <f t="shared" ca="1" si="126"/>
        <v>5.3308209900593901</v>
      </c>
      <c r="G304" s="306">
        <f t="shared" ca="1" si="127"/>
        <v>6.737554704759841</v>
      </c>
      <c r="H304" s="307">
        <f t="shared" ca="1" si="128"/>
        <v>-39.282927852695678</v>
      </c>
      <c r="I304" s="304">
        <f t="shared" ca="1" si="129"/>
        <v>39.856531009104714</v>
      </c>
      <c r="J304" s="306">
        <f t="shared" ca="1" si="130"/>
        <v>128.88628560841073</v>
      </c>
      <c r="K304" s="307">
        <f t="shared" ca="1" si="131"/>
        <v>189.72575279268128</v>
      </c>
      <c r="L304" s="304">
        <f t="shared" ca="1" si="116"/>
        <v>229.36332725761201</v>
      </c>
      <c r="M304" s="306">
        <f t="shared" ca="1" si="132"/>
        <v>-1.4009354941783769</v>
      </c>
      <c r="N304" s="304">
        <f t="shared" ca="1" si="133"/>
        <v>-80.267691186495313</v>
      </c>
      <c r="P304" s="310">
        <f t="shared" ca="1" si="134"/>
        <v>23</v>
      </c>
      <c r="Q304" s="304">
        <f t="shared" ca="1" si="135"/>
        <v>0</v>
      </c>
      <c r="R304" s="306">
        <f t="shared" ca="1" si="136"/>
        <v>0</v>
      </c>
      <c r="S304" s="307">
        <f t="shared" ca="1" si="137"/>
        <v>0.4270000000000001</v>
      </c>
      <c r="T304" s="304">
        <f t="shared" ca="1" si="117"/>
        <v>4.1888700000000014</v>
      </c>
      <c r="U304" s="311">
        <f t="shared" ca="1" si="118"/>
        <v>0</v>
      </c>
      <c r="V304" s="306">
        <f t="shared" ca="1" si="119"/>
        <v>1.201976998101236</v>
      </c>
      <c r="W304" s="304">
        <f t="shared" ca="1" si="120"/>
        <v>2.0197384862114682</v>
      </c>
      <c r="Y304" s="314" t="str">
        <f t="shared" ca="1" si="138"/>
        <v/>
      </c>
      <c r="Z304" s="315" t="str">
        <f t="shared" ca="1" si="139"/>
        <v/>
      </c>
      <c r="AA304" s="316" t="str">
        <f t="shared" ca="1" si="140"/>
        <v/>
      </c>
      <c r="AC304" s="310">
        <f t="shared" ca="1" si="141"/>
        <v>11.999999999999975</v>
      </c>
      <c r="AD304" s="323">
        <f t="shared" ca="1" si="142"/>
        <v>128.88628560841073</v>
      </c>
      <c r="AE304" s="324" t="e">
        <f t="shared" ca="1" si="121"/>
        <v>#N/A</v>
      </c>
      <c r="AG304" s="306">
        <f t="shared" ca="1" si="143"/>
        <v>5.0526419153690822</v>
      </c>
      <c r="AH304" s="304">
        <f t="shared" ca="1" si="144"/>
        <v>-4.6090162185583852</v>
      </c>
    </row>
    <row r="305" spans="1:34" x14ac:dyDescent="0.3">
      <c r="A305" s="347">
        <f t="shared" ca="1" si="122"/>
        <v>0.1</v>
      </c>
      <c r="B305" s="304">
        <f t="shared" ca="1" si="123"/>
        <v>12.099999999999975</v>
      </c>
      <c r="D305" s="306">
        <f t="shared" ca="1" si="124"/>
        <v>-0.79959500802870842</v>
      </c>
      <c r="E305" s="307">
        <f t="shared" ca="1" si="125"/>
        <v>-5.1480069790636342</v>
      </c>
      <c r="F305" s="304">
        <f t="shared" ca="1" si="126"/>
        <v>5.2097339695374387</v>
      </c>
      <c r="G305" s="306">
        <f t="shared" ca="1" si="127"/>
        <v>6.6575952039569701</v>
      </c>
      <c r="H305" s="307">
        <f t="shared" ca="1" si="128"/>
        <v>-39.797728550602045</v>
      </c>
      <c r="I305" s="304">
        <f t="shared" ca="1" si="129"/>
        <v>40.35074685414331</v>
      </c>
      <c r="J305" s="306">
        <f t="shared" ca="1" si="130"/>
        <v>129.55604310384658</v>
      </c>
      <c r="K305" s="307">
        <f t="shared" ca="1" si="131"/>
        <v>185.77171997251639</v>
      </c>
      <c r="L305" s="304">
        <f t="shared" ca="1" si="116"/>
        <v>226.48598244984788</v>
      </c>
      <c r="M305" s="306">
        <f t="shared" ca="1" si="132"/>
        <v>-1.4050453014905937</v>
      </c>
      <c r="N305" s="304">
        <f t="shared" ca="1" si="133"/>
        <v>-80.503165800097335</v>
      </c>
      <c r="P305" s="310">
        <f t="shared" ca="1" si="134"/>
        <v>23</v>
      </c>
      <c r="Q305" s="304">
        <f t="shared" ca="1" si="135"/>
        <v>0</v>
      </c>
      <c r="R305" s="306">
        <f t="shared" ca="1" si="136"/>
        <v>0</v>
      </c>
      <c r="S305" s="307">
        <f t="shared" ca="1" si="137"/>
        <v>0.4270000000000001</v>
      </c>
      <c r="T305" s="304">
        <f t="shared" ca="1" si="117"/>
        <v>4.1888700000000014</v>
      </c>
      <c r="U305" s="311">
        <f t="shared" ca="1" si="118"/>
        <v>0</v>
      </c>
      <c r="V305" s="306">
        <f t="shared" ca="1" si="119"/>
        <v>1.2024523996284804</v>
      </c>
      <c r="W305" s="304">
        <f t="shared" ca="1" si="120"/>
        <v>2.0709568017012168</v>
      </c>
      <c r="Y305" s="314" t="str">
        <f t="shared" ca="1" si="138"/>
        <v/>
      </c>
      <c r="Z305" s="315" t="str">
        <f t="shared" ca="1" si="139"/>
        <v/>
      </c>
      <c r="AA305" s="316" t="str">
        <f t="shared" ca="1" si="140"/>
        <v/>
      </c>
      <c r="AC305" s="310" t="e">
        <f t="shared" ca="1" si="141"/>
        <v>#N/A</v>
      </c>
      <c r="AD305" s="323" t="e">
        <f t="shared" ca="1" si="142"/>
        <v>#N/A</v>
      </c>
      <c r="AE305" s="324" t="e">
        <f t="shared" ca="1" si="121"/>
        <v>#N/A</v>
      </c>
      <c r="AG305" s="306">
        <f t="shared" ca="1" si="143"/>
        <v>4.9387507304767286</v>
      </c>
      <c r="AH305" s="304">
        <f t="shared" ca="1" si="144"/>
        <v>-4.7300667124390348</v>
      </c>
    </row>
    <row r="306" spans="1:34" x14ac:dyDescent="0.3">
      <c r="A306" s="347">
        <f t="shared" ca="1" si="122"/>
        <v>0.1</v>
      </c>
      <c r="B306" s="304">
        <f t="shared" ca="1" si="123"/>
        <v>12.199999999999974</v>
      </c>
      <c r="D306" s="306">
        <f t="shared" ca="1" si="124"/>
        <v>-0.8002192104405571</v>
      </c>
      <c r="E306" s="307">
        <f t="shared" ca="1" si="125"/>
        <v>-5.0264548996367315</v>
      </c>
      <c r="F306" s="304">
        <f t="shared" ca="1" si="126"/>
        <v>5.0897543794214881</v>
      </c>
      <c r="G306" s="306">
        <f t="shared" ca="1" si="127"/>
        <v>6.5775732829129145</v>
      </c>
      <c r="H306" s="307">
        <f t="shared" ca="1" si="128"/>
        <v>-40.300374040565721</v>
      </c>
      <c r="I306" s="304">
        <f t="shared" ca="1" si="129"/>
        <v>40.833621173018606</v>
      </c>
      <c r="J306" s="306">
        <f t="shared" ca="1" si="130"/>
        <v>130.21780152819008</v>
      </c>
      <c r="K306" s="307">
        <f t="shared" ca="1" si="131"/>
        <v>181.76681484295801</v>
      </c>
      <c r="L306" s="304">
        <f t="shared" ca="1" si="116"/>
        <v>223.5975196932857</v>
      </c>
      <c r="M306" s="306">
        <f t="shared" ca="1" si="132"/>
        <v>-1.4090091592104641</v>
      </c>
      <c r="N306" s="304">
        <f t="shared" ca="1" si="133"/>
        <v>-80.730278118036253</v>
      </c>
      <c r="P306" s="310">
        <f t="shared" ca="1" si="134"/>
        <v>23</v>
      </c>
      <c r="Q306" s="304">
        <f t="shared" ca="1" si="135"/>
        <v>0</v>
      </c>
      <c r="R306" s="306">
        <f t="shared" ca="1" si="136"/>
        <v>0</v>
      </c>
      <c r="S306" s="307">
        <f t="shared" ca="1" si="137"/>
        <v>0.4270000000000001</v>
      </c>
      <c r="T306" s="304">
        <f t="shared" ca="1" si="117"/>
        <v>4.1888700000000014</v>
      </c>
      <c r="U306" s="311">
        <f t="shared" ca="1" si="118"/>
        <v>0</v>
      </c>
      <c r="V306" s="306">
        <f t="shared" ca="1" si="119"/>
        <v>1.2029341075312732</v>
      </c>
      <c r="W306" s="304">
        <f t="shared" ca="1" si="120"/>
        <v>2.1216689527415116</v>
      </c>
      <c r="Y306" s="314" t="str">
        <f t="shared" ca="1" si="138"/>
        <v/>
      </c>
      <c r="Z306" s="315" t="str">
        <f t="shared" ca="1" si="139"/>
        <v/>
      </c>
      <c r="AA306" s="316" t="str">
        <f t="shared" ca="1" si="140"/>
        <v/>
      </c>
      <c r="AC306" s="310" t="e">
        <f t="shared" ca="1" si="141"/>
        <v>#N/A</v>
      </c>
      <c r="AD306" s="323" t="e">
        <f t="shared" ca="1" si="142"/>
        <v>#N/A</v>
      </c>
      <c r="AE306" s="324" t="e">
        <f t="shared" ca="1" si="121"/>
        <v>#N/A</v>
      </c>
      <c r="AG306" s="306">
        <f t="shared" ca="1" si="143"/>
        <v>4.8255352693688556</v>
      </c>
      <c r="AH306" s="304">
        <f t="shared" ca="1" si="144"/>
        <v>-4.8500159290426614</v>
      </c>
    </row>
    <row r="307" spans="1:34" x14ac:dyDescent="0.3">
      <c r="A307" s="347">
        <f t="shared" ca="1" si="122"/>
        <v>0.1</v>
      </c>
      <c r="B307" s="304">
        <f t="shared" ca="1" si="123"/>
        <v>12.299999999999974</v>
      </c>
      <c r="D307" s="306">
        <f t="shared" ca="1" si="124"/>
        <v>-0.8003824296151647</v>
      </c>
      <c r="E307" s="307">
        <f t="shared" ca="1" si="125"/>
        <v>-4.9061076522277398</v>
      </c>
      <c r="F307" s="304">
        <f t="shared" ca="1" si="126"/>
        <v>4.970966136364666</v>
      </c>
      <c r="G307" s="306">
        <f t="shared" ca="1" si="127"/>
        <v>6.4975350399513978</v>
      </c>
      <c r="H307" s="307">
        <f t="shared" ca="1" si="128"/>
        <v>-40.790984805788497</v>
      </c>
      <c r="I307" s="304">
        <f t="shared" ca="1" si="129"/>
        <v>41.305234571679463</v>
      </c>
      <c r="J307" s="306">
        <f t="shared" ca="1" si="130"/>
        <v>130.87155694433329</v>
      </c>
      <c r="K307" s="307">
        <f t="shared" ca="1" si="131"/>
        <v>177.71224690064031</v>
      </c>
      <c r="L307" s="304">
        <f t="shared" ca="1" si="116"/>
        <v>220.70117153179774</v>
      </c>
      <c r="M307" s="306">
        <f t="shared" ca="1" si="132"/>
        <v>-1.4128348756217248</v>
      </c>
      <c r="N307" s="304">
        <f t="shared" ca="1" si="133"/>
        <v>-80.949475522015433</v>
      </c>
      <c r="P307" s="310">
        <f t="shared" ca="1" si="134"/>
        <v>23</v>
      </c>
      <c r="Q307" s="304">
        <f t="shared" ca="1" si="135"/>
        <v>0</v>
      </c>
      <c r="R307" s="306">
        <f t="shared" ca="1" si="136"/>
        <v>0</v>
      </c>
      <c r="S307" s="307">
        <f t="shared" ca="1" si="137"/>
        <v>0.4270000000000001</v>
      </c>
      <c r="T307" s="304">
        <f t="shared" ca="1" si="117"/>
        <v>4.1888700000000014</v>
      </c>
      <c r="U307" s="311">
        <f t="shared" ca="1" si="118"/>
        <v>0</v>
      </c>
      <c r="V307" s="306">
        <f t="shared" ca="1" si="119"/>
        <v>1.2034219836431932</v>
      </c>
      <c r="W307" s="304">
        <f t="shared" ca="1" si="120"/>
        <v>2.1718414529915284</v>
      </c>
      <c r="Y307" s="314" t="str">
        <f t="shared" ca="1" si="138"/>
        <v/>
      </c>
      <c r="Z307" s="315" t="str">
        <f t="shared" ca="1" si="139"/>
        <v/>
      </c>
      <c r="AA307" s="316" t="str">
        <f t="shared" ca="1" si="140"/>
        <v/>
      </c>
      <c r="AC307" s="310" t="e">
        <f t="shared" ca="1" si="141"/>
        <v>#N/A</v>
      </c>
      <c r="AD307" s="323" t="e">
        <f t="shared" ca="1" si="142"/>
        <v>#N/A</v>
      </c>
      <c r="AE307" s="324" t="e">
        <f t="shared" ca="1" si="121"/>
        <v>#N/A</v>
      </c>
      <c r="AG307" s="306">
        <f t="shared" ca="1" si="143"/>
        <v>4.7131112513253255</v>
      </c>
      <c r="AH307" s="304">
        <f t="shared" ca="1" si="144"/>
        <v>-4.9687797488091592</v>
      </c>
    </row>
    <row r="308" spans="1:34" x14ac:dyDescent="0.3">
      <c r="A308" s="347">
        <f t="shared" ca="1" si="122"/>
        <v>0.1</v>
      </c>
      <c r="B308" s="304">
        <f t="shared" ca="1" si="123"/>
        <v>12.399999999999974</v>
      </c>
      <c r="D308" s="306">
        <f t="shared" ca="1" si="124"/>
        <v>-0.80009909730294504</v>
      </c>
      <c r="E308" s="307">
        <f t="shared" ca="1" si="125"/>
        <v>-4.7870443836723577</v>
      </c>
      <c r="F308" s="304">
        <f t="shared" ca="1" si="126"/>
        <v>4.8534474857315653</v>
      </c>
      <c r="G308" s="306">
        <f t="shared" ca="1" si="127"/>
        <v>6.4175251302211036</v>
      </c>
      <c r="H308" s="307">
        <f t="shared" ca="1" si="128"/>
        <v>-41.269689244155735</v>
      </c>
      <c r="I308" s="304">
        <f t="shared" ca="1" si="129"/>
        <v>41.765678243100552</v>
      </c>
      <c r="J308" s="306">
        <f t="shared" ca="1" si="130"/>
        <v>131.51730995284191</v>
      </c>
      <c r="K308" s="307">
        <f t="shared" ca="1" si="131"/>
        <v>173.6092131981431</v>
      </c>
      <c r="L308" s="304">
        <f t="shared" ca="1" si="116"/>
        <v>217.80027944084506</v>
      </c>
      <c r="M308" s="306">
        <f t="shared" ca="1" si="132"/>
        <v>-1.4165297016512288</v>
      </c>
      <c r="N308" s="304">
        <f t="shared" ca="1" si="133"/>
        <v>-81.161173459541089</v>
      </c>
      <c r="P308" s="310">
        <f t="shared" ca="1" si="134"/>
        <v>23</v>
      </c>
      <c r="Q308" s="304">
        <f t="shared" ca="1" si="135"/>
        <v>0</v>
      </c>
      <c r="R308" s="306">
        <f t="shared" ca="1" si="136"/>
        <v>0</v>
      </c>
      <c r="S308" s="307">
        <f t="shared" ca="1" si="137"/>
        <v>0.4270000000000001</v>
      </c>
      <c r="T308" s="304">
        <f t="shared" ca="1" si="117"/>
        <v>4.1888700000000014</v>
      </c>
      <c r="U308" s="311">
        <f t="shared" ca="1" si="118"/>
        <v>0</v>
      </c>
      <c r="V308" s="306">
        <f t="shared" ca="1" si="119"/>
        <v>1.2039158911605576</v>
      </c>
      <c r="W308" s="304">
        <f t="shared" ca="1" si="120"/>
        <v>2.2214432110203077</v>
      </c>
      <c r="Y308" s="314" t="str">
        <f t="shared" ca="1" si="138"/>
        <v/>
      </c>
      <c r="Z308" s="315" t="str">
        <f t="shared" ca="1" si="139"/>
        <v/>
      </c>
      <c r="AA308" s="316" t="str">
        <f t="shared" ca="1" si="140"/>
        <v/>
      </c>
      <c r="AC308" s="310" t="e">
        <f t="shared" ca="1" si="141"/>
        <v>#N/A</v>
      </c>
      <c r="AD308" s="323" t="e">
        <f t="shared" ca="1" si="142"/>
        <v>#N/A</v>
      </c>
      <c r="AE308" s="324" t="e">
        <f t="shared" ca="1" si="121"/>
        <v>#N/A</v>
      </c>
      <c r="AG308" s="306">
        <f t="shared" ca="1" si="143"/>
        <v>4.6015858466804183</v>
      </c>
      <c r="AH308" s="304">
        <f t="shared" ca="1" si="144"/>
        <v>-5.086279749394679</v>
      </c>
    </row>
    <row r="309" spans="1:34" x14ac:dyDescent="0.3">
      <c r="A309" s="347">
        <f t="shared" ca="1" si="122"/>
        <v>0.1</v>
      </c>
      <c r="B309" s="304">
        <f t="shared" ca="1" si="123"/>
        <v>12.499999999999973</v>
      </c>
      <c r="D309" s="306">
        <f t="shared" ca="1" si="124"/>
        <v>-0.79938386845974441</v>
      </c>
      <c r="E309" s="307">
        <f t="shared" ca="1" si="125"/>
        <v>-4.6693385816647188</v>
      </c>
      <c r="F309" s="304">
        <f t="shared" ca="1" si="126"/>
        <v>4.7372710878074473</v>
      </c>
      <c r="G309" s="306">
        <f t="shared" ca="1" si="127"/>
        <v>6.3375867433751294</v>
      </c>
      <c r="H309" s="307">
        <f t="shared" ca="1" si="128"/>
        <v>-41.736623102322206</v>
      </c>
      <c r="I309" s="304">
        <f t="shared" ca="1" si="129"/>
        <v>42.215053164897235</v>
      </c>
      <c r="J309" s="306">
        <f t="shared" ca="1" si="130"/>
        <v>132.15506554652171</v>
      </c>
      <c r="K309" s="307">
        <f t="shared" ca="1" si="131"/>
        <v>169.45889758081921</v>
      </c>
      <c r="L309" s="304">
        <f t="shared" ca="1" si="116"/>
        <v>214.89829994421089</v>
      </c>
      <c r="M309" s="306">
        <f t="shared" ca="1" si="132"/>
        <v>-1.4201003791704425</v>
      </c>
      <c r="N309" s="304">
        <f t="shared" ca="1" si="133"/>
        <v>-81.365758211394279</v>
      </c>
      <c r="P309" s="310">
        <f t="shared" ca="1" si="134"/>
        <v>23</v>
      </c>
      <c r="Q309" s="304">
        <f t="shared" ca="1" si="135"/>
        <v>0</v>
      </c>
      <c r="R309" s="306">
        <f t="shared" ca="1" si="136"/>
        <v>0</v>
      </c>
      <c r="S309" s="307">
        <f t="shared" ca="1" si="137"/>
        <v>0.4270000000000001</v>
      </c>
      <c r="T309" s="304">
        <f t="shared" ca="1" si="117"/>
        <v>4.1888700000000014</v>
      </c>
      <c r="U309" s="311">
        <f t="shared" ca="1" si="118"/>
        <v>0</v>
      </c>
      <c r="V309" s="306">
        <f t="shared" ca="1" si="119"/>
        <v>1.2044156947302738</v>
      </c>
      <c r="W309" s="304">
        <f t="shared" ca="1" si="120"/>
        <v>2.2704454861683949</v>
      </c>
      <c r="Y309" s="314" t="str">
        <f t="shared" ca="1" si="138"/>
        <v/>
      </c>
      <c r="Z309" s="315" t="str">
        <f t="shared" ca="1" si="139"/>
        <v/>
      </c>
      <c r="AA309" s="316" t="str">
        <f t="shared" ca="1" si="140"/>
        <v/>
      </c>
      <c r="AC309" s="310" t="e">
        <f t="shared" ca="1" si="141"/>
        <v>#N/A</v>
      </c>
      <c r="AD309" s="323" t="e">
        <f t="shared" ca="1" si="142"/>
        <v>#N/A</v>
      </c>
      <c r="AE309" s="324" t="e">
        <f t="shared" ca="1" si="121"/>
        <v>#N/A</v>
      </c>
      <c r="AG309" s="306">
        <f t="shared" ca="1" si="143"/>
        <v>4.4910580664999005</v>
      </c>
      <c r="AH309" s="304">
        <f t="shared" ca="1" si="144"/>
        <v>-5.2024431171435763</v>
      </c>
    </row>
    <row r="310" spans="1:34" x14ac:dyDescent="0.3">
      <c r="A310" s="347">
        <f t="shared" ca="1" si="122"/>
        <v>0.1</v>
      </c>
      <c r="B310" s="304">
        <f t="shared" ca="1" si="123"/>
        <v>12.599999999999973</v>
      </c>
      <c r="D310" s="306">
        <f t="shared" ca="1" si="124"/>
        <v>-0.79825156730918323</v>
      </c>
      <c r="E310" s="307">
        <f t="shared" ca="1" si="125"/>
        <v>-4.5530581773972685</v>
      </c>
      <c r="F310" s="304">
        <f t="shared" ca="1" si="126"/>
        <v>4.6225041191410208</v>
      </c>
      <c r="G310" s="306">
        <f t="shared" ca="1" si="127"/>
        <v>6.2577615866442109</v>
      </c>
      <c r="H310" s="307">
        <f t="shared" ca="1" si="128"/>
        <v>-42.191928920061933</v>
      </c>
      <c r="I310" s="304">
        <f t="shared" ca="1" si="129"/>
        <v>42.653469332175526</v>
      </c>
      <c r="J310" s="306">
        <f t="shared" ca="1" si="130"/>
        <v>132.78483296302267</v>
      </c>
      <c r="K310" s="307">
        <f t="shared" ca="1" si="131"/>
        <v>165.2624699797</v>
      </c>
      <c r="L310" s="304">
        <f t="shared" ca="1" si="116"/>
        <v>211.99881096083789</v>
      </c>
      <c r="M310" s="306">
        <f t="shared" ca="1" si="132"/>
        <v>-1.4235531844332765</v>
      </c>
      <c r="N310" s="304">
        <f t="shared" ca="1" si="133"/>
        <v>-81.563589380435232</v>
      </c>
      <c r="P310" s="310">
        <f t="shared" ca="1" si="134"/>
        <v>23</v>
      </c>
      <c r="Q310" s="304">
        <f t="shared" ca="1" si="135"/>
        <v>0</v>
      </c>
      <c r="R310" s="306">
        <f t="shared" ca="1" si="136"/>
        <v>0</v>
      </c>
      <c r="S310" s="307">
        <f t="shared" ca="1" si="137"/>
        <v>0.4270000000000001</v>
      </c>
      <c r="T310" s="304">
        <f t="shared" ca="1" si="117"/>
        <v>4.1888700000000014</v>
      </c>
      <c r="U310" s="311">
        <f t="shared" ca="1" si="118"/>
        <v>0</v>
      </c>
      <c r="V310" s="306">
        <f t="shared" ca="1" si="119"/>
        <v>1.2049212605314195</v>
      </c>
      <c r="W310" s="304">
        <f t="shared" ca="1" si="120"/>
        <v>2.318821838707291</v>
      </c>
      <c r="Y310" s="314" t="str">
        <f t="shared" ca="1" si="138"/>
        <v/>
      </c>
      <c r="Z310" s="315" t="str">
        <f t="shared" ca="1" si="139"/>
        <v/>
      </c>
      <c r="AA310" s="316" t="str">
        <f t="shared" ca="1" si="140"/>
        <v/>
      </c>
      <c r="AC310" s="310" t="e">
        <f t="shared" ca="1" si="141"/>
        <v>#N/A</v>
      </c>
      <c r="AD310" s="323" t="e">
        <f t="shared" ca="1" si="142"/>
        <v>#N/A</v>
      </c>
      <c r="AE310" s="324" t="e">
        <f t="shared" ca="1" si="121"/>
        <v>#N/A</v>
      </c>
      <c r="AG310" s="306">
        <f t="shared" ca="1" si="143"/>
        <v>4.3816191309673824</v>
      </c>
      <c r="AH310" s="304">
        <f t="shared" ca="1" si="144"/>
        <v>-5.3172025437198931</v>
      </c>
    </row>
    <row r="311" spans="1:34" x14ac:dyDescent="0.3">
      <c r="A311" s="347">
        <f t="shared" ca="1" si="122"/>
        <v>0.1</v>
      </c>
      <c r="B311" s="304">
        <f t="shared" ca="1" si="123"/>
        <v>12.699999999999973</v>
      </c>
      <c r="D311" s="306">
        <f t="shared" ca="1" si="124"/>
        <v>-0.7967171365376835</v>
      </c>
      <c r="E311" s="307">
        <f t="shared" ca="1" si="125"/>
        <v>-4.4382656619681802</v>
      </c>
      <c r="F311" s="304">
        <f t="shared" ca="1" si="126"/>
        <v>4.5092083874953772</v>
      </c>
      <c r="G311" s="306">
        <f t="shared" ca="1" si="127"/>
        <v>6.1780898729904425</v>
      </c>
      <c r="H311" s="307">
        <f t="shared" ca="1" si="128"/>
        <v>-42.635755486258752</v>
      </c>
      <c r="I311" s="304">
        <f t="shared" ca="1" si="129"/>
        <v>43.081045024033372</v>
      </c>
      <c r="J311" s="306">
        <f t="shared" ca="1" si="130"/>
        <v>133.40662553600441</v>
      </c>
      <c r="K311" s="307">
        <f t="shared" ca="1" si="131"/>
        <v>161.02108575938396</v>
      </c>
      <c r="L311" s="304">
        <f t="shared" ca="1" si="116"/>
        <v>209.10551832994412</v>
      </c>
      <c r="M311" s="306">
        <f t="shared" ca="1" si="132"/>
        <v>-1.4268939672046874</v>
      </c>
      <c r="N311" s="304">
        <f t="shared" ca="1" si="133"/>
        <v>-81.755002133507091</v>
      </c>
      <c r="P311" s="310">
        <f t="shared" ca="1" si="134"/>
        <v>23</v>
      </c>
      <c r="Q311" s="304">
        <f t="shared" ca="1" si="135"/>
        <v>0</v>
      </c>
      <c r="R311" s="306">
        <f t="shared" ca="1" si="136"/>
        <v>0</v>
      </c>
      <c r="S311" s="307">
        <f t="shared" ca="1" si="137"/>
        <v>0.4270000000000001</v>
      </c>
      <c r="T311" s="304">
        <f t="shared" ca="1" si="117"/>
        <v>4.1888700000000014</v>
      </c>
      <c r="U311" s="311">
        <f t="shared" ca="1" si="118"/>
        <v>0</v>
      </c>
      <c r="V311" s="306">
        <f t="shared" ca="1" si="119"/>
        <v>1.2054324563506784</v>
      </c>
      <c r="W311" s="304">
        <f t="shared" ca="1" si="120"/>
        <v>2.3665480749179459</v>
      </c>
      <c r="Y311" s="314" t="str">
        <f t="shared" ca="1" si="138"/>
        <v/>
      </c>
      <c r="Z311" s="315" t="str">
        <f t="shared" ca="1" si="139"/>
        <v/>
      </c>
      <c r="AA311" s="316" t="str">
        <f t="shared" ca="1" si="140"/>
        <v/>
      </c>
      <c r="AC311" s="310" t="e">
        <f t="shared" ca="1" si="141"/>
        <v>#N/A</v>
      </c>
      <c r="AD311" s="323" t="e">
        <f t="shared" ca="1" si="142"/>
        <v>#N/A</v>
      </c>
      <c r="AE311" s="324" t="e">
        <f t="shared" ca="1" si="121"/>
        <v>#N/A</v>
      </c>
      <c r="AG311" s="306">
        <f t="shared" ca="1" si="143"/>
        <v>4.2733528198178483</v>
      </c>
      <c r="AH311" s="304">
        <f t="shared" ca="1" si="144"/>
        <v>-5.4304961093847552</v>
      </c>
    </row>
    <row r="312" spans="1:34" x14ac:dyDescent="0.3">
      <c r="A312" s="347">
        <f t="shared" ca="1" si="122"/>
        <v>0.1</v>
      </c>
      <c r="B312" s="304">
        <f t="shared" ca="1" si="123"/>
        <v>12.799999999999972</v>
      </c>
      <c r="D312" s="306">
        <f t="shared" ca="1" si="124"/>
        <v>-0.79479558958580399</v>
      </c>
      <c r="E312" s="307">
        <f t="shared" ca="1" si="125"/>
        <v>-4.325018215049913</v>
      </c>
      <c r="F312" s="304">
        <f t="shared" ca="1" si="126"/>
        <v>4.3974404589190952</v>
      </c>
      <c r="G312" s="306">
        <f t="shared" ca="1" si="127"/>
        <v>6.0986103140318617</v>
      </c>
      <c r="H312" s="307">
        <f t="shared" ca="1" si="128"/>
        <v>-43.068257307763744</v>
      </c>
      <c r="I312" s="304">
        <f t="shared" ca="1" si="129"/>
        <v>43.497906102364986</v>
      </c>
      <c r="J312" s="306">
        <f t="shared" ca="1" si="130"/>
        <v>134.02046054535552</v>
      </c>
      <c r="K312" s="307">
        <f t="shared" ca="1" si="131"/>
        <v>156.73588511968285</v>
      </c>
      <c r="L312" s="304">
        <f t="shared" ca="1" si="116"/>
        <v>206.22226244767953</v>
      </c>
      <c r="M312" s="306">
        <f t="shared" ca="1" si="132"/>
        <v>-1.4301281860643773</v>
      </c>
      <c r="N312" s="304">
        <f t="shared" ca="1" si="133"/>
        <v>-81.940309224188937</v>
      </c>
      <c r="P312" s="310">
        <f t="shared" ca="1" si="134"/>
        <v>23</v>
      </c>
      <c r="Q312" s="304">
        <f t="shared" ca="1" si="135"/>
        <v>0</v>
      </c>
      <c r="R312" s="306">
        <f t="shared" ca="1" si="136"/>
        <v>0</v>
      </c>
      <c r="S312" s="307">
        <f t="shared" ca="1" si="137"/>
        <v>0.4270000000000001</v>
      </c>
      <c r="T312" s="304">
        <f t="shared" ca="1" si="117"/>
        <v>4.1888700000000014</v>
      </c>
      <c r="U312" s="311">
        <f t="shared" ca="1" si="118"/>
        <v>0</v>
      </c>
      <c r="V312" s="306">
        <f t="shared" ca="1" si="119"/>
        <v>1.205949151651746</v>
      </c>
      <c r="W312" s="304">
        <f t="shared" ca="1" si="120"/>
        <v>2.4136021876924185</v>
      </c>
      <c r="Y312" s="314" t="str">
        <f t="shared" ca="1" si="138"/>
        <v/>
      </c>
      <c r="Z312" s="315" t="str">
        <f t="shared" ca="1" si="139"/>
        <v/>
      </c>
      <c r="AA312" s="316" t="str">
        <f t="shared" ca="1" si="140"/>
        <v/>
      </c>
      <c r="AC312" s="310" t="e">
        <f t="shared" ca="1" si="141"/>
        <v>#N/A</v>
      </c>
      <c r="AD312" s="323" t="e">
        <f t="shared" ca="1" si="142"/>
        <v>#N/A</v>
      </c>
      <c r="AE312" s="324" t="e">
        <f t="shared" ca="1" si="121"/>
        <v>#N/A</v>
      </c>
      <c r="AG312" s="306">
        <f t="shared" ca="1" si="143"/>
        <v>4.1663358074817989</v>
      </c>
      <c r="AH312" s="304">
        <f t="shared" ca="1" si="144"/>
        <v>-5.5422671543745796</v>
      </c>
    </row>
    <row r="313" spans="1:34" x14ac:dyDescent="0.3">
      <c r="A313" s="347">
        <f t="shared" ca="1" si="122"/>
        <v>0.1</v>
      </c>
      <c r="B313" s="304">
        <f t="shared" ca="1" si="123"/>
        <v>12.899999999999972</v>
      </c>
      <c r="D313" s="306">
        <f t="shared" ca="1" si="124"/>
        <v>-0.79250196599173961</v>
      </c>
      <c r="E313" s="307">
        <f t="shared" ca="1" si="125"/>
        <v>-4.2133678443579656</v>
      </c>
      <c r="F313" s="304">
        <f t="shared" ca="1" si="126"/>
        <v>4.2872517954944591</v>
      </c>
      <c r="G313" s="306">
        <f t="shared" ca="1" si="127"/>
        <v>6.0193601174326874</v>
      </c>
      <c r="H313" s="307">
        <f t="shared" ca="1" si="128"/>
        <v>-43.489594092199539</v>
      </c>
      <c r="I313" s="304">
        <f t="shared" ca="1" si="129"/>
        <v>43.904185341805579</v>
      </c>
      <c r="J313" s="306">
        <f t="shared" ca="1" si="130"/>
        <v>134.62635906692876</v>
      </c>
      <c r="K313" s="307">
        <f t="shared" ca="1" si="131"/>
        <v>152.40799254968468</v>
      </c>
      <c r="L313" s="304">
        <f t="shared" ca="1" si="116"/>
        <v>203.35302493113392</v>
      </c>
      <c r="M313" s="306">
        <f t="shared" ca="1" si="132"/>
        <v>-1.433260940309476</v>
      </c>
      <c r="N313" s="304">
        <f t="shared" ca="1" si="133"/>
        <v>-82.119802820684782</v>
      </c>
      <c r="P313" s="310">
        <f t="shared" ca="1" si="134"/>
        <v>23</v>
      </c>
      <c r="Q313" s="304">
        <f t="shared" ca="1" si="135"/>
        <v>0</v>
      </c>
      <c r="R313" s="306">
        <f t="shared" ca="1" si="136"/>
        <v>0</v>
      </c>
      <c r="S313" s="307">
        <f t="shared" ca="1" si="137"/>
        <v>0.4270000000000001</v>
      </c>
      <c r="T313" s="304">
        <f t="shared" ca="1" si="117"/>
        <v>4.1888700000000014</v>
      </c>
      <c r="U313" s="311">
        <f t="shared" ca="1" si="118"/>
        <v>0</v>
      </c>
      <c r="V313" s="306">
        <f t="shared" ca="1" si="119"/>
        <v>1.2064712176388663</v>
      </c>
      <c r="W313" s="304">
        <f t="shared" ca="1" si="120"/>
        <v>2.459964293242852</v>
      </c>
      <c r="Y313" s="314" t="str">
        <f t="shared" ca="1" si="138"/>
        <v/>
      </c>
      <c r="Z313" s="315" t="str">
        <f t="shared" ca="1" si="139"/>
        <v/>
      </c>
      <c r="AA313" s="316" t="str">
        <f t="shared" ca="1" si="140"/>
        <v/>
      </c>
      <c r="AC313" s="310" t="e">
        <f t="shared" ca="1" si="141"/>
        <v>#N/A</v>
      </c>
      <c r="AD313" s="323" t="e">
        <f t="shared" ca="1" si="142"/>
        <v>#N/A</v>
      </c>
      <c r="AE313" s="324" t="e">
        <f t="shared" ca="1" si="121"/>
        <v>#N/A</v>
      </c>
      <c r="AG313" s="306">
        <f t="shared" ca="1" si="143"/>
        <v>4.0606379850494845</v>
      </c>
      <c r="AH313" s="304">
        <f t="shared" ca="1" si="144"/>
        <v>-5.6524641397948896</v>
      </c>
    </row>
    <row r="314" spans="1:34" x14ac:dyDescent="0.3">
      <c r="A314" s="347">
        <f t="shared" ca="1" si="122"/>
        <v>0.1</v>
      </c>
      <c r="B314" s="304">
        <f t="shared" ca="1" si="123"/>
        <v>12.999999999999972</v>
      </c>
      <c r="D314" s="306">
        <f t="shared" ca="1" si="124"/>
        <v>-0.7898512897349973</v>
      </c>
      <c r="E314" s="307">
        <f t="shared" ca="1" si="125"/>
        <v>-4.1033615345104115</v>
      </c>
      <c r="F314" s="304">
        <f t="shared" ca="1" si="126"/>
        <v>4.1786889023706557</v>
      </c>
      <c r="G314" s="306">
        <f t="shared" ca="1" si="127"/>
        <v>5.9403749884591877</v>
      </c>
      <c r="H314" s="307">
        <f t="shared" ca="1" si="128"/>
        <v>-43.89993024565058</v>
      </c>
      <c r="I314" s="304">
        <f t="shared" ca="1" si="129"/>
        <v>44.3000217897971</v>
      </c>
      <c r="J314" s="306">
        <f t="shared" ca="1" si="130"/>
        <v>135.22434582222334</v>
      </c>
      <c r="K314" s="307">
        <f t="shared" ca="1" si="131"/>
        <v>148.03851633279217</v>
      </c>
      <c r="L314" s="304">
        <f t="shared" ca="1" si="116"/>
        <v>200.50193520528083</v>
      </c>
      <c r="M314" s="306">
        <f t="shared" ca="1" si="132"/>
        <v>-1.4362969988278922</v>
      </c>
      <c r="N314" s="304">
        <f t="shared" ca="1" si="133"/>
        <v>-82.293756160144767</v>
      </c>
      <c r="P314" s="310">
        <f t="shared" ca="1" si="134"/>
        <v>23</v>
      </c>
      <c r="Q314" s="304">
        <f t="shared" ca="1" si="135"/>
        <v>0</v>
      </c>
      <c r="R314" s="306">
        <f t="shared" ca="1" si="136"/>
        <v>0</v>
      </c>
      <c r="S314" s="307">
        <f t="shared" ca="1" si="137"/>
        <v>0.4270000000000001</v>
      </c>
      <c r="T314" s="304">
        <f t="shared" ca="1" si="117"/>
        <v>4.1888700000000014</v>
      </c>
      <c r="U314" s="311">
        <f t="shared" ca="1" si="118"/>
        <v>0</v>
      </c>
      <c r="V314" s="306">
        <f t="shared" ca="1" si="119"/>
        <v>1.2069985273146404</v>
      </c>
      <c r="W314" s="304">
        <f t="shared" ca="1" si="120"/>
        <v>2.5056165644791486</v>
      </c>
      <c r="Y314" s="314" t="str">
        <f t="shared" ca="1" si="138"/>
        <v/>
      </c>
      <c r="Z314" s="315" t="str">
        <f t="shared" ca="1" si="139"/>
        <v/>
      </c>
      <c r="AA314" s="316" t="str">
        <f t="shared" ca="1" si="140"/>
        <v/>
      </c>
      <c r="AC314" s="310">
        <f t="shared" ca="1" si="141"/>
        <v>12.999999999999972</v>
      </c>
      <c r="AD314" s="323">
        <f t="shared" ca="1" si="142"/>
        <v>135.22434582222334</v>
      </c>
      <c r="AE314" s="324" t="e">
        <f t="shared" ca="1" si="121"/>
        <v>#N/A</v>
      </c>
      <c r="AG314" s="306">
        <f t="shared" ca="1" si="143"/>
        <v>3.9563227707102646</v>
      </c>
      <c r="AH314" s="304">
        <f t="shared" ca="1" si="144"/>
        <v>-5.7610404993977786</v>
      </c>
    </row>
    <row r="315" spans="1:34" x14ac:dyDescent="0.3">
      <c r="A315" s="347">
        <f t="shared" ca="1" si="122"/>
        <v>0.1</v>
      </c>
      <c r="B315" s="304">
        <f t="shared" ca="1" si="123"/>
        <v>13.099999999999971</v>
      </c>
      <c r="D315" s="306">
        <f t="shared" ca="1" si="124"/>
        <v>-0.78685853052044008</v>
      </c>
      <c r="E315" s="307">
        <f t="shared" ca="1" si="125"/>
        <v>-3.9950414039262148</v>
      </c>
      <c r="F315" s="304">
        <f t="shared" ca="1" si="126"/>
        <v>4.07179348274658</v>
      </c>
      <c r="G315" s="306">
        <f t="shared" ca="1" si="127"/>
        <v>5.8616891354071434</v>
      </c>
      <c r="H315" s="307">
        <f t="shared" ca="1" si="128"/>
        <v>-44.299434386043202</v>
      </c>
      <c r="I315" s="304">
        <f t="shared" ca="1" si="129"/>
        <v>44.685560155865751</v>
      </c>
      <c r="J315" s="306">
        <f t="shared" ca="1" si="130"/>
        <v>135.81444902841665</v>
      </c>
      <c r="K315" s="307">
        <f t="shared" ca="1" si="131"/>
        <v>143.62854810120749</v>
      </c>
      <c r="L315" s="304">
        <f t="shared" ca="1" si="116"/>
        <v>197.67327688525137</v>
      </c>
      <c r="M315" s="306">
        <f t="shared" ca="1" si="132"/>
        <v>-1.4392408262688356</v>
      </c>
      <c r="N315" s="304">
        <f t="shared" ca="1" si="133"/>
        <v>-82.462425048125624</v>
      </c>
      <c r="P315" s="310">
        <f t="shared" ca="1" si="134"/>
        <v>23</v>
      </c>
      <c r="Q315" s="304">
        <f t="shared" ca="1" si="135"/>
        <v>0</v>
      </c>
      <c r="R315" s="306">
        <f t="shared" ca="1" si="136"/>
        <v>0</v>
      </c>
      <c r="S315" s="307">
        <f t="shared" ca="1" si="137"/>
        <v>0.4270000000000001</v>
      </c>
      <c r="T315" s="304">
        <f t="shared" ca="1" si="117"/>
        <v>4.1888700000000014</v>
      </c>
      <c r="U315" s="311">
        <f t="shared" ca="1" si="118"/>
        <v>0</v>
      </c>
      <c r="V315" s="306">
        <f t="shared" ca="1" si="119"/>
        <v>1.2075309555322826</v>
      </c>
      <c r="W315" s="304">
        <f t="shared" ca="1" si="120"/>
        <v>2.5505431615920306</v>
      </c>
      <c r="Y315" s="314" t="str">
        <f t="shared" ca="1" si="138"/>
        <v/>
      </c>
      <c r="Z315" s="315" t="str">
        <f t="shared" ca="1" si="139"/>
        <v/>
      </c>
      <c r="AA315" s="316" t="str">
        <f t="shared" ca="1" si="140"/>
        <v/>
      </c>
      <c r="AC315" s="310" t="e">
        <f t="shared" ca="1" si="141"/>
        <v>#N/A</v>
      </c>
      <c r="AD315" s="323" t="e">
        <f t="shared" ca="1" si="142"/>
        <v>#N/A</v>
      </c>
      <c r="AE315" s="324" t="e">
        <f t="shared" ca="1" si="121"/>
        <v>#N/A</v>
      </c>
      <c r="AG315" s="306">
        <f t="shared" ca="1" si="143"/>
        <v>3.8534474099514737</v>
      </c>
      <c r="AH315" s="304">
        <f t="shared" ca="1" si="144"/>
        <v>-5.8679544835577238</v>
      </c>
    </row>
    <row r="316" spans="1:34" x14ac:dyDescent="0.3">
      <c r="A316" s="347">
        <f t="shared" ca="1" si="122"/>
        <v>0.1</v>
      </c>
      <c r="B316" s="304">
        <f t="shared" ca="1" si="123"/>
        <v>13.199999999999971</v>
      </c>
      <c r="D316" s="306">
        <f t="shared" ca="1" si="124"/>
        <v>-0.78353856793549992</v>
      </c>
      <c r="E316" s="307">
        <f t="shared" ca="1" si="125"/>
        <v>-3.8884448684718569</v>
      </c>
      <c r="F316" s="304">
        <f t="shared" ca="1" si="126"/>
        <v>3.9666025995286609</v>
      </c>
      <c r="G316" s="306">
        <f t="shared" ca="1" si="127"/>
        <v>5.7833352786135936</v>
      </c>
      <c r="H316" s="307">
        <f t="shared" ca="1" si="128"/>
        <v>-44.688278872890386</v>
      </c>
      <c r="I316" s="304">
        <f t="shared" ca="1" si="129"/>
        <v>45.060950229284757</v>
      </c>
      <c r="J316" s="306">
        <f t="shared" ca="1" si="130"/>
        <v>136.39670024911769</v>
      </c>
      <c r="K316" s="307">
        <f t="shared" ca="1" si="131"/>
        <v>139.17916243826082</v>
      </c>
      <c r="L316" s="304">
        <f t="shared" ca="1" si="116"/>
        <v>194.87149380005135</v>
      </c>
      <c r="M316" s="306">
        <f t="shared" ca="1" si="132"/>
        <v>-1.4420966067978633</v>
      </c>
      <c r="N316" s="304">
        <f t="shared" ca="1" si="133"/>
        <v>-82.626049219654547</v>
      </c>
      <c r="P316" s="310">
        <f t="shared" ca="1" si="134"/>
        <v>23</v>
      </c>
      <c r="Q316" s="304">
        <f t="shared" ca="1" si="135"/>
        <v>0</v>
      </c>
      <c r="R316" s="306">
        <f t="shared" ca="1" si="136"/>
        <v>0</v>
      </c>
      <c r="S316" s="307">
        <f t="shared" ca="1" si="137"/>
        <v>0.4270000000000001</v>
      </c>
      <c r="T316" s="304">
        <f t="shared" ca="1" si="117"/>
        <v>4.1888700000000014</v>
      </c>
      <c r="U316" s="311">
        <f t="shared" ca="1" si="118"/>
        <v>0</v>
      </c>
      <c r="V316" s="306">
        <f t="shared" ca="1" si="119"/>
        <v>1.2080683790424926</v>
      </c>
      <c r="W316" s="304">
        <f t="shared" ca="1" si="120"/>
        <v>2.5947301603516459</v>
      </c>
      <c r="Y316" s="314" t="str">
        <f t="shared" ca="1" si="138"/>
        <v/>
      </c>
      <c r="Z316" s="315" t="str">
        <f t="shared" ca="1" si="139"/>
        <v/>
      </c>
      <c r="AA316" s="316" t="str">
        <f t="shared" ca="1" si="140"/>
        <v/>
      </c>
      <c r="AC316" s="310" t="e">
        <f t="shared" ca="1" si="141"/>
        <v>#N/A</v>
      </c>
      <c r="AD316" s="323" t="e">
        <f t="shared" ca="1" si="142"/>
        <v>#N/A</v>
      </c>
      <c r="AE316" s="324" t="e">
        <f t="shared" ca="1" si="121"/>
        <v>#N/A</v>
      </c>
      <c r="AG316" s="306">
        <f t="shared" ca="1" si="143"/>
        <v>3.7520632664994533</v>
      </c>
      <c r="AH316" s="304">
        <f t="shared" ca="1" si="144"/>
        <v>-5.9731689967026469</v>
      </c>
    </row>
    <row r="317" spans="1:34" x14ac:dyDescent="0.3">
      <c r="A317" s="347">
        <f t="shared" ca="1" si="122"/>
        <v>0.1</v>
      </c>
      <c r="B317" s="304">
        <f t="shared" ca="1" si="123"/>
        <v>13.299999999999971</v>
      </c>
      <c r="D317" s="306">
        <f t="shared" ca="1" si="124"/>
        <v>-0.77990615840626842</v>
      </c>
      <c r="E317" s="307">
        <f t="shared" ca="1" si="125"/>
        <v>-3.7836048106311759</v>
      </c>
      <c r="F317" s="304">
        <f t="shared" ca="1" si="126"/>
        <v>3.8631488424537048</v>
      </c>
      <c r="G317" s="306">
        <f t="shared" ca="1" si="127"/>
        <v>5.7053446627729665</v>
      </c>
      <c r="H317" s="307">
        <f t="shared" ca="1" si="128"/>
        <v>-45.066639353953505</v>
      </c>
      <c r="I317" s="304">
        <f t="shared" ca="1" si="129"/>
        <v>45.426346324356125</v>
      </c>
      <c r="J317" s="306">
        <f t="shared" ca="1" si="130"/>
        <v>136.97113424618701</v>
      </c>
      <c r="K317" s="307">
        <f t="shared" ca="1" si="131"/>
        <v>134.69141652691863</v>
      </c>
      <c r="L317" s="304">
        <f t="shared" ca="1" si="116"/>
        <v>192.10119547445527</v>
      </c>
      <c r="M317" s="306">
        <f t="shared" ca="1" si="132"/>
        <v>-1.44486826568976</v>
      </c>
      <c r="N317" s="304">
        <f t="shared" ca="1" si="133"/>
        <v>-82.784853576410143</v>
      </c>
      <c r="P317" s="310">
        <f t="shared" ca="1" si="134"/>
        <v>23</v>
      </c>
      <c r="Q317" s="304">
        <f t="shared" ca="1" si="135"/>
        <v>0</v>
      </c>
      <c r="R317" s="306">
        <f t="shared" ca="1" si="136"/>
        <v>0</v>
      </c>
      <c r="S317" s="307">
        <f t="shared" ca="1" si="137"/>
        <v>0.4270000000000001</v>
      </c>
      <c r="T317" s="304">
        <f t="shared" ca="1" si="117"/>
        <v>4.1888700000000014</v>
      </c>
      <c r="U317" s="311">
        <f t="shared" ca="1" si="118"/>
        <v>0</v>
      </c>
      <c r="V317" s="306">
        <f t="shared" ca="1" si="119"/>
        <v>1.2086106765351226</v>
      </c>
      <c r="W317" s="304">
        <f t="shared" ca="1" si="120"/>
        <v>2.6381654786040634</v>
      </c>
      <c r="Y317" s="314" t="str">
        <f t="shared" ca="1" si="138"/>
        <v/>
      </c>
      <c r="Z317" s="315" t="str">
        <f t="shared" ca="1" si="139"/>
        <v/>
      </c>
      <c r="AA317" s="316" t="str">
        <f t="shared" ca="1" si="140"/>
        <v/>
      </c>
      <c r="AC317" s="310" t="e">
        <f t="shared" ca="1" si="141"/>
        <v>#N/A</v>
      </c>
      <c r="AD317" s="323" t="e">
        <f t="shared" ca="1" si="142"/>
        <v>#N/A</v>
      </c>
      <c r="AE317" s="324" t="e">
        <f t="shared" ca="1" si="121"/>
        <v>#N/A</v>
      </c>
      <c r="AG317" s="306">
        <f t="shared" ca="1" si="143"/>
        <v>3.6522161047421138</v>
      </c>
      <c r="AH317" s="304">
        <f t="shared" ca="1" si="144"/>
        <v>-6.0766514293949543</v>
      </c>
    </row>
    <row r="318" spans="1:34" x14ac:dyDescent="0.3">
      <c r="A318" s="347">
        <f t="shared" ca="1" si="122"/>
        <v>0.1</v>
      </c>
      <c r="B318" s="304">
        <f t="shared" ca="1" si="123"/>
        <v>13.39999999999997</v>
      </c>
      <c r="D318" s="306">
        <f t="shared" ca="1" si="124"/>
        <v>-0.77597590487185675</v>
      </c>
      <c r="E318" s="307">
        <f t="shared" ca="1" si="125"/>
        <v>-3.6805497530413982</v>
      </c>
      <c r="F318" s="304">
        <f t="shared" ca="1" si="126"/>
        <v>3.7614604995340302</v>
      </c>
      <c r="G318" s="306">
        <f t="shared" ca="1" si="127"/>
        <v>5.6277470722857812</v>
      </c>
      <c r="H318" s="307">
        <f t="shared" ca="1" si="128"/>
        <v>-45.434694329257646</v>
      </c>
      <c r="I318" s="304">
        <f t="shared" ca="1" si="129"/>
        <v>45.781906752588384</v>
      </c>
      <c r="J318" s="306">
        <f t="shared" ca="1" si="130"/>
        <v>137.53778883293995</v>
      </c>
      <c r="K318" s="307">
        <f t="shared" ca="1" si="131"/>
        <v>130.16634984275808</v>
      </c>
      <c r="L318" s="304">
        <f t="shared" ca="1" si="116"/>
        <v>189.36716185347888</v>
      </c>
      <c r="M318" s="306">
        <f t="shared" ca="1" si="132"/>
        <v>-1.4475594889829746</v>
      </c>
      <c r="N318" s="304">
        <f t="shared" ca="1" si="133"/>
        <v>-82.939049312838634</v>
      </c>
      <c r="P318" s="310">
        <f t="shared" ca="1" si="134"/>
        <v>23</v>
      </c>
      <c r="Q318" s="304">
        <f t="shared" ca="1" si="135"/>
        <v>0</v>
      </c>
      <c r="R318" s="306">
        <f t="shared" ca="1" si="136"/>
        <v>0</v>
      </c>
      <c r="S318" s="307">
        <f t="shared" ca="1" si="137"/>
        <v>0.4270000000000001</v>
      </c>
      <c r="T318" s="304">
        <f t="shared" ca="1" si="117"/>
        <v>4.1888700000000014</v>
      </c>
      <c r="U318" s="311">
        <f t="shared" ca="1" si="118"/>
        <v>0</v>
      </c>
      <c r="V318" s="306">
        <f t="shared" ca="1" si="119"/>
        <v>1.2091577286758364</v>
      </c>
      <c r="W318" s="304">
        <f t="shared" ca="1" si="120"/>
        <v>2.6808388014193127</v>
      </c>
      <c r="Y318" s="314" t="str">
        <f t="shared" ca="1" si="138"/>
        <v/>
      </c>
      <c r="Z318" s="315" t="str">
        <f t="shared" ca="1" si="139"/>
        <v/>
      </c>
      <c r="AA318" s="316" t="str">
        <f t="shared" ca="1" si="140"/>
        <v/>
      </c>
      <c r="AC318" s="310" t="e">
        <f t="shared" ca="1" si="141"/>
        <v>#N/A</v>
      </c>
      <c r="AD318" s="323" t="e">
        <f t="shared" ca="1" si="142"/>
        <v>#N/A</v>
      </c>
      <c r="AE318" s="324" t="e">
        <f t="shared" ca="1" si="121"/>
        <v>#N/A</v>
      </c>
      <c r="AG318" s="306">
        <f t="shared" ca="1" si="143"/>
        <v>3.55394636417717</v>
      </c>
      <c r="AH318" s="304">
        <f t="shared" ca="1" si="144"/>
        <v>-6.178373486192184</v>
      </c>
    </row>
    <row r="319" spans="1:34" x14ac:dyDescent="0.3">
      <c r="A319" s="347">
        <f t="shared" ca="1" si="122"/>
        <v>0.1</v>
      </c>
      <c r="B319" s="304">
        <f t="shared" ca="1" si="123"/>
        <v>13.49999999999997</v>
      </c>
      <c r="D319" s="306">
        <f t="shared" ca="1" si="124"/>
        <v>-0.77176222909058645</v>
      </c>
      <c r="E319" s="307">
        <f t="shared" ca="1" si="125"/>
        <v>-3.5793040353081658</v>
      </c>
      <c r="F319" s="304">
        <f t="shared" ca="1" si="126"/>
        <v>3.6615617317511102</v>
      </c>
      <c r="G319" s="306">
        <f t="shared" ca="1" si="127"/>
        <v>5.5505708493767223</v>
      </c>
      <c r="H319" s="307">
        <f t="shared" ca="1" si="128"/>
        <v>-45.792624732788461</v>
      </c>
      <c r="I319" s="304">
        <f t="shared" ca="1" si="129"/>
        <v>46.127793321076396</v>
      </c>
      <c r="J319" s="306">
        <f t="shared" ca="1" si="130"/>
        <v>138.09670472902309</v>
      </c>
      <c r="K319" s="307">
        <f t="shared" ca="1" si="131"/>
        <v>125.60498388965577</v>
      </c>
      <c r="L319" s="304">
        <f t="shared" ca="1" si="116"/>
        <v>186.67434701890798</v>
      </c>
      <c r="M319" s="306">
        <f t="shared" ca="1" si="132"/>
        <v>-1.4501737413935085</v>
      </c>
      <c r="N319" s="304">
        <f t="shared" ca="1" si="133"/>
        <v>-83.088834942544125</v>
      </c>
      <c r="P319" s="310">
        <f t="shared" ca="1" si="134"/>
        <v>23</v>
      </c>
      <c r="Q319" s="304">
        <f t="shared" ca="1" si="135"/>
        <v>0</v>
      </c>
      <c r="R319" s="306">
        <f t="shared" ca="1" si="136"/>
        <v>0</v>
      </c>
      <c r="S319" s="307">
        <f t="shared" ca="1" si="137"/>
        <v>0.4270000000000001</v>
      </c>
      <c r="T319" s="304">
        <f t="shared" ca="1" si="117"/>
        <v>4.1888700000000014</v>
      </c>
      <c r="U319" s="311">
        <f t="shared" ca="1" si="118"/>
        <v>0</v>
      </c>
      <c r="V319" s="306">
        <f t="shared" ca="1" si="119"/>
        <v>1.2097094181379398</v>
      </c>
      <c r="W319" s="304">
        <f t="shared" ca="1" si="120"/>
        <v>2.7227415053151987</v>
      </c>
      <c r="Y319" s="314" t="str">
        <f t="shared" ca="1" si="138"/>
        <v/>
      </c>
      <c r="Z319" s="315" t="str">
        <f t="shared" ca="1" si="139"/>
        <v/>
      </c>
      <c r="AA319" s="316" t="str">
        <f t="shared" ca="1" si="140"/>
        <v/>
      </c>
      <c r="AC319" s="310" t="e">
        <f t="shared" ca="1" si="141"/>
        <v>#N/A</v>
      </c>
      <c r="AD319" s="323" t="e">
        <f t="shared" ca="1" si="142"/>
        <v>#N/A</v>
      </c>
      <c r="AE319" s="324" t="e">
        <f t="shared" ca="1" si="121"/>
        <v>#N/A</v>
      </c>
      <c r="AG319" s="306">
        <f t="shared" ca="1" si="143"/>
        <v>3.4572894262751692</v>
      </c>
      <c r="AH319" s="304">
        <f t="shared" ca="1" si="144"/>
        <v>-6.2783110103496771</v>
      </c>
    </row>
    <row r="320" spans="1:34" x14ac:dyDescent="0.3">
      <c r="A320" s="347">
        <f t="shared" ca="1" si="122"/>
        <v>0.1</v>
      </c>
      <c r="B320" s="304">
        <f t="shared" ca="1" si="123"/>
        <v>13.599999999999969</v>
      </c>
      <c r="D320" s="306">
        <f t="shared" ca="1" si="124"/>
        <v>-0.76727934648658591</v>
      </c>
      <c r="E320" s="307">
        <f t="shared" ca="1" si="125"/>
        <v>-3.4798879930836666</v>
      </c>
      <c r="F320" s="304">
        <f t="shared" ca="1" si="126"/>
        <v>3.5634727499944137</v>
      </c>
      <c r="G320" s="306">
        <f t="shared" ca="1" si="127"/>
        <v>5.4738429147280634</v>
      </c>
      <c r="H320" s="307">
        <f t="shared" ca="1" si="128"/>
        <v>-46.140613532096829</v>
      </c>
      <c r="I320" s="304">
        <f t="shared" ca="1" si="129"/>
        <v>46.464170856407584</v>
      </c>
      <c r="J320" s="306">
        <f t="shared" ca="1" si="130"/>
        <v>138.64792541722832</v>
      </c>
      <c r="K320" s="307">
        <f t="shared" ca="1" si="131"/>
        <v>121.00832197641151</v>
      </c>
      <c r="L320" s="304">
        <f t="shared" ca="1" si="116"/>
        <v>184.02788161049995</v>
      </c>
      <c r="M320" s="306">
        <f t="shared" ca="1" si="132"/>
        <v>-1.4527142826636166</v>
      </c>
      <c r="N320" s="304">
        <f t="shared" ca="1" si="133"/>
        <v>-83.234397235000131</v>
      </c>
      <c r="P320" s="310">
        <f t="shared" ca="1" si="134"/>
        <v>23</v>
      </c>
      <c r="Q320" s="304">
        <f t="shared" ca="1" si="135"/>
        <v>0</v>
      </c>
      <c r="R320" s="306">
        <f t="shared" ca="1" si="136"/>
        <v>0</v>
      </c>
      <c r="S320" s="307">
        <f t="shared" ca="1" si="137"/>
        <v>0.4270000000000001</v>
      </c>
      <c r="T320" s="304">
        <f t="shared" ca="1" si="117"/>
        <v>4.1888700000000014</v>
      </c>
      <c r="U320" s="311">
        <f t="shared" ca="1" si="118"/>
        <v>0</v>
      </c>
      <c r="V320" s="306">
        <f t="shared" ca="1" si="119"/>
        <v>1.2102656296295846</v>
      </c>
      <c r="W320" s="304">
        <f t="shared" ca="1" si="120"/>
        <v>2.7638665819515396</v>
      </c>
      <c r="Y320" s="314" t="str">
        <f t="shared" ca="1" si="138"/>
        <v/>
      </c>
      <c r="Z320" s="315" t="str">
        <f t="shared" ca="1" si="139"/>
        <v/>
      </c>
      <c r="AA320" s="316" t="str">
        <f t="shared" ca="1" si="140"/>
        <v/>
      </c>
      <c r="AC320" s="310" t="e">
        <f t="shared" ca="1" si="141"/>
        <v>#N/A</v>
      </c>
      <c r="AD320" s="323" t="e">
        <f t="shared" ca="1" si="142"/>
        <v>#N/A</v>
      </c>
      <c r="AE320" s="324" t="e">
        <f t="shared" ca="1" si="121"/>
        <v>#N/A</v>
      </c>
      <c r="AG320" s="306">
        <f t="shared" ca="1" si="143"/>
        <v>3.3622758740252774</v>
      </c>
      <c r="AH320" s="304">
        <f t="shared" ca="1" si="144"/>
        <v>-6.3764438063587772</v>
      </c>
    </row>
    <row r="321" spans="1:34" x14ac:dyDescent="0.3">
      <c r="A321" s="347">
        <f t="shared" ca="1" si="122"/>
        <v>0.1</v>
      </c>
      <c r="B321" s="304">
        <f t="shared" ca="1" si="123"/>
        <v>13.699999999999969</v>
      </c>
      <c r="D321" s="306">
        <f t="shared" ca="1" si="124"/>
        <v>-0.76254124344104779</v>
      </c>
      <c r="E321" s="307">
        <f t="shared" ca="1" si="125"/>
        <v>-3.382318138463444</v>
      </c>
      <c r="F321" s="304">
        <f t="shared" ca="1" si="126"/>
        <v>3.4672099933126974</v>
      </c>
      <c r="G321" s="306">
        <f t="shared" ca="1" si="127"/>
        <v>5.397588790383959</v>
      </c>
      <c r="H321" s="307">
        <f t="shared" ca="1" si="128"/>
        <v>-46.478845345943171</v>
      </c>
      <c r="I321" s="304">
        <f t="shared" ca="1" si="129"/>
        <v>46.791206753429449</v>
      </c>
      <c r="J321" s="306">
        <f t="shared" ca="1" si="130"/>
        <v>139.19149700248391</v>
      </c>
      <c r="K321" s="307">
        <f t="shared" ca="1" si="131"/>
        <v>116.37734903250951</v>
      </c>
      <c r="L321" s="304">
        <f t="shared" ca="1" si="116"/>
        <v>181.43307362668756</v>
      </c>
      <c r="M321" s="306">
        <f t="shared" ca="1" si="132"/>
        <v>-1.4551841825009515</v>
      </c>
      <c r="N321" s="304">
        <f t="shared" ca="1" si="133"/>
        <v>-83.375912071499471</v>
      </c>
      <c r="P321" s="310">
        <f t="shared" ca="1" si="134"/>
        <v>23</v>
      </c>
      <c r="Q321" s="304">
        <f t="shared" ca="1" si="135"/>
        <v>0</v>
      </c>
      <c r="R321" s="306">
        <f t="shared" ca="1" si="136"/>
        <v>0</v>
      </c>
      <c r="S321" s="307">
        <f t="shared" ca="1" si="137"/>
        <v>0.4270000000000001</v>
      </c>
      <c r="T321" s="304">
        <f t="shared" ca="1" si="117"/>
        <v>4.1888700000000014</v>
      </c>
      <c r="U321" s="311">
        <f t="shared" ca="1" si="118"/>
        <v>0</v>
      </c>
      <c r="V321" s="306">
        <f t="shared" ca="1" si="119"/>
        <v>1.2108262499165456</v>
      </c>
      <c r="W321" s="304">
        <f t="shared" ca="1" si="120"/>
        <v>2.8042085616598023</v>
      </c>
      <c r="Y321" s="314" t="str">
        <f t="shared" ca="1" si="138"/>
        <v/>
      </c>
      <c r="Z321" s="315" t="str">
        <f t="shared" ca="1" si="139"/>
        <v/>
      </c>
      <c r="AA321" s="316" t="str">
        <f t="shared" ca="1" si="140"/>
        <v/>
      </c>
      <c r="AC321" s="310" t="e">
        <f t="shared" ca="1" si="141"/>
        <v>#N/A</v>
      </c>
      <c r="AD321" s="323" t="e">
        <f t="shared" ca="1" si="142"/>
        <v>#N/A</v>
      </c>
      <c r="AE321" s="324" t="e">
        <f t="shared" ca="1" si="121"/>
        <v>#N/A</v>
      </c>
      <c r="AG321" s="306">
        <f t="shared" ca="1" si="143"/>
        <v>3.2689317443377837</v>
      </c>
      <c r="AH321" s="304">
        <f t="shared" ca="1" si="144"/>
        <v>-6.4727554612448222</v>
      </c>
    </row>
    <row r="322" spans="1:34" x14ac:dyDescent="0.3">
      <c r="A322" s="347">
        <f t="shared" ca="1" si="122"/>
        <v>0.1</v>
      </c>
      <c r="B322" s="304">
        <f t="shared" ca="1" si="123"/>
        <v>13.799999999999969</v>
      </c>
      <c r="D322" s="306">
        <f t="shared" ca="1" si="124"/>
        <v>-0.75756165692889654</v>
      </c>
      <c r="E322" s="307">
        <f t="shared" ca="1" si="125"/>
        <v>-3.2866073408289518</v>
      </c>
      <c r="F322" s="304">
        <f t="shared" ca="1" si="126"/>
        <v>3.3727863076156499</v>
      </c>
      <c r="G322" s="306">
        <f t="shared" ca="1" si="127"/>
        <v>5.3218326246910692</v>
      </c>
      <c r="H322" s="307">
        <f t="shared" ca="1" si="128"/>
        <v>-46.807506080026066</v>
      </c>
      <c r="I322" s="304">
        <f t="shared" ca="1" si="129"/>
        <v>47.109070548217183</v>
      </c>
      <c r="J322" s="306">
        <f t="shared" ca="1" si="130"/>
        <v>139.72746807323767</v>
      </c>
      <c r="K322" s="307">
        <f t="shared" ca="1" si="131"/>
        <v>111.71303146121105</v>
      </c>
      <c r="L322" s="304">
        <f t="shared" ca="1" si="116"/>
        <v>178.89540724236377</v>
      </c>
      <c r="M322" s="306">
        <f t="shared" ca="1" si="132"/>
        <v>-1.4575863342465032</v>
      </c>
      <c r="N322" s="304">
        <f t="shared" ca="1" si="133"/>
        <v>-83.513545228269564</v>
      </c>
      <c r="P322" s="310">
        <f t="shared" ca="1" si="134"/>
        <v>23</v>
      </c>
      <c r="Q322" s="304">
        <f t="shared" ca="1" si="135"/>
        <v>0</v>
      </c>
      <c r="R322" s="306">
        <f t="shared" ca="1" si="136"/>
        <v>0</v>
      </c>
      <c r="S322" s="307">
        <f t="shared" ca="1" si="137"/>
        <v>0.4270000000000001</v>
      </c>
      <c r="T322" s="304">
        <f t="shared" ca="1" si="117"/>
        <v>4.1888700000000014</v>
      </c>
      <c r="U322" s="311">
        <f t="shared" ca="1" si="118"/>
        <v>0</v>
      </c>
      <c r="V322" s="306">
        <f t="shared" ca="1" si="119"/>
        <v>1.2113911678407594</v>
      </c>
      <c r="W322" s="304">
        <f t="shared" ca="1" si="120"/>
        <v>2.8437634371436511</v>
      </c>
      <c r="Y322" s="314" t="str">
        <f t="shared" ca="1" si="138"/>
        <v/>
      </c>
      <c r="Z322" s="315" t="str">
        <f t="shared" ca="1" si="139"/>
        <v/>
      </c>
      <c r="AA322" s="316" t="str">
        <f t="shared" ca="1" si="140"/>
        <v/>
      </c>
      <c r="AC322" s="310" t="e">
        <f t="shared" ca="1" si="141"/>
        <v>#N/A</v>
      </c>
      <c r="AD322" s="323" t="e">
        <f t="shared" ca="1" si="142"/>
        <v>#N/A</v>
      </c>
      <c r="AE322" s="324" t="e">
        <f t="shared" ca="1" si="121"/>
        <v>#N/A</v>
      </c>
      <c r="AG322" s="306">
        <f t="shared" ca="1" si="143"/>
        <v>3.1772787734069263</v>
      </c>
      <c r="AH322" s="304">
        <f t="shared" ca="1" si="144"/>
        <v>-6.567233165479629</v>
      </c>
    </row>
    <row r="323" spans="1:34" x14ac:dyDescent="0.3">
      <c r="A323" s="347">
        <f t="shared" ca="1" si="122"/>
        <v>0.1</v>
      </c>
      <c r="B323" s="304">
        <f t="shared" ca="1" si="123"/>
        <v>13.899999999999968</v>
      </c>
      <c r="D323" s="306">
        <f t="shared" ca="1" si="124"/>
        <v>-0.7523540563987926</v>
      </c>
      <c r="E323" s="307">
        <f t="shared" ca="1" si="125"/>
        <v>-3.1927650073337253</v>
      </c>
      <c r="F323" s="304">
        <f t="shared" ca="1" si="126"/>
        <v>3.2802111240337015</v>
      </c>
      <c r="G323" s="306">
        <f t="shared" ca="1" si="127"/>
        <v>5.24659721905119</v>
      </c>
      <c r="H323" s="307">
        <f t="shared" ca="1" si="128"/>
        <v>-47.126782580759439</v>
      </c>
      <c r="I323" s="304">
        <f t="shared" ca="1" si="129"/>
        <v>47.417933514579978</v>
      </c>
      <c r="J323" s="306">
        <f t="shared" ca="1" si="130"/>
        <v>140.25588956542478</v>
      </c>
      <c r="K323" s="307">
        <f t="shared" ca="1" si="131"/>
        <v>107.01631702817177</v>
      </c>
      <c r="L323" s="304">
        <f t="shared" ca="1" si="116"/>
        <v>176.42053924660473</v>
      </c>
      <c r="M323" s="306">
        <f t="shared" ca="1" si="132"/>
        <v>-1.4599234673945025</v>
      </c>
      <c r="N323" s="304">
        <f t="shared" ca="1" si="133"/>
        <v>-83.647453093810043</v>
      </c>
      <c r="P323" s="310">
        <f t="shared" ca="1" si="134"/>
        <v>23</v>
      </c>
      <c r="Q323" s="304">
        <f t="shared" ca="1" si="135"/>
        <v>0</v>
      </c>
      <c r="R323" s="306">
        <f t="shared" ca="1" si="136"/>
        <v>0</v>
      </c>
      <c r="S323" s="307">
        <f t="shared" ca="1" si="137"/>
        <v>0.4270000000000001</v>
      </c>
      <c r="T323" s="304">
        <f t="shared" ca="1" si="117"/>
        <v>4.1888700000000014</v>
      </c>
      <c r="U323" s="311">
        <f t="shared" ca="1" si="118"/>
        <v>0</v>
      </c>
      <c r="V323" s="306">
        <f t="shared" ca="1" si="119"/>
        <v>1.2119602743348366</v>
      </c>
      <c r="W323" s="304">
        <f t="shared" ca="1" si="120"/>
        <v>2.8825285876569779</v>
      </c>
      <c r="Y323" s="314" t="str">
        <f t="shared" ca="1" si="138"/>
        <v/>
      </c>
      <c r="Z323" s="315" t="str">
        <f t="shared" ca="1" si="139"/>
        <v/>
      </c>
      <c r="AA323" s="316" t="str">
        <f t="shared" ca="1" si="140"/>
        <v/>
      </c>
      <c r="AC323" s="310" t="e">
        <f t="shared" ca="1" si="141"/>
        <v>#N/A</v>
      </c>
      <c r="AD323" s="323" t="e">
        <f t="shared" ca="1" si="142"/>
        <v>#N/A</v>
      </c>
      <c r="AE323" s="324" t="e">
        <f t="shared" ca="1" si="121"/>
        <v>#N/A</v>
      </c>
      <c r="AG323" s="306">
        <f t="shared" ca="1" si="143"/>
        <v>3.0873346350856901</v>
      </c>
      <c r="AH323" s="304">
        <f t="shared" ca="1" si="144"/>
        <v>-6.6598675342942633</v>
      </c>
    </row>
    <row r="324" spans="1:34" x14ac:dyDescent="0.3">
      <c r="A324" s="347">
        <f t="shared" ca="1" si="122"/>
        <v>0.1</v>
      </c>
      <c r="B324" s="304">
        <f t="shared" ca="1" si="123"/>
        <v>13.999999999999968</v>
      </c>
      <c r="D324" s="306">
        <f t="shared" ca="1" si="124"/>
        <v>-0.74693162779238653</v>
      </c>
      <c r="E324" s="307">
        <f t="shared" ca="1" si="125"/>
        <v>-3.1007972623005591</v>
      </c>
      <c r="F324" s="304">
        <f t="shared" ca="1" si="126"/>
        <v>3.1894906362125015</v>
      </c>
      <c r="G324" s="306">
        <f t="shared" ca="1" si="127"/>
        <v>5.1719040562719512</v>
      </c>
      <c r="H324" s="307">
        <f t="shared" ca="1" si="128"/>
        <v>-47.436862306989497</v>
      </c>
      <c r="I324" s="304">
        <f t="shared" ca="1" si="129"/>
        <v>47.717968283441856</v>
      </c>
      <c r="J324" s="306">
        <f t="shared" ca="1" si="130"/>
        <v>140.77681462919094</v>
      </c>
      <c r="K324" s="307">
        <f t="shared" ca="1" si="131"/>
        <v>102.28813478378433</v>
      </c>
      <c r="L324" s="304">
        <f t="shared" ref="L324:L387" ca="1" si="145">SQRT(pos_x^2+pos_z^2)</f>
        <v>174.01429267358247</v>
      </c>
      <c r="M324" s="306">
        <f t="shared" ca="1" si="132"/>
        <v>-1.4621981590741195</v>
      </c>
      <c r="N324" s="304">
        <f t="shared" ca="1" si="133"/>
        <v>-83.77778332674562</v>
      </c>
      <c r="P324" s="310">
        <f t="shared" ca="1" si="134"/>
        <v>23</v>
      </c>
      <c r="Q324" s="304">
        <f t="shared" ca="1" si="135"/>
        <v>0</v>
      </c>
      <c r="R324" s="306">
        <f t="shared" ca="1" si="136"/>
        <v>0</v>
      </c>
      <c r="S324" s="307">
        <f t="shared" ca="1" si="137"/>
        <v>0.4270000000000001</v>
      </c>
      <c r="T324" s="304">
        <f t="shared" ref="T324:T387" ca="1" si="146">m*g</f>
        <v>4.1888700000000014</v>
      </c>
      <c r="U324" s="311">
        <f t="shared" ref="U324:U387" ca="1" si="147">IF(pos_xz&lt;L_rampe,Poids*COS(Beta),0)</f>
        <v>0</v>
      </c>
      <c r="V324" s="306">
        <f t="shared" ref="V324:V387" ca="1" si="148">Rho_moyen*(20000-Alt_rampe-pos_z)/(20000+Alt_rampe+pos_z)</f>
        <v>1.2125334624327351</v>
      </c>
      <c r="W324" s="304">
        <f t="shared" ref="W324:W387" ca="1" si="149">1/2*Rho*Sref*Cx*vit_xz^2</f>
        <v>2.9205027039376503</v>
      </c>
      <c r="Y324" s="314" t="str">
        <f t="shared" ca="1" si="138"/>
        <v/>
      </c>
      <c r="Z324" s="315" t="str">
        <f t="shared" ca="1" si="139"/>
        <v/>
      </c>
      <c r="AA324" s="316" t="str">
        <f t="shared" ca="1" si="140"/>
        <v/>
      </c>
      <c r="AC324" s="310">
        <f t="shared" ca="1" si="141"/>
        <v>13.999999999999968</v>
      </c>
      <c r="AD324" s="323">
        <f t="shared" ca="1" si="142"/>
        <v>140.77681462919094</v>
      </c>
      <c r="AE324" s="324" t="e">
        <f t="shared" ref="AE324:AE387" ca="1" si="150">IF(t&lt;T_para, pos_z, NA())</f>
        <v>#N/A</v>
      </c>
      <c r="AG324" s="306">
        <f t="shared" ca="1" si="143"/>
        <v>2.9991131722880455</v>
      </c>
      <c r="AH324" s="304">
        <f t="shared" ca="1" si="144"/>
        <v>-6.7506524301100166</v>
      </c>
    </row>
    <row r="325" spans="1:34" x14ac:dyDescent="0.3">
      <c r="A325" s="347">
        <f t="shared" ref="A325:A388" ca="1" si="151">IF(B324+0.01&lt;=T_ini+ROUNDUP(Temps_fin_propu,0), 0.01, IF(K324&gt;0, 0.1, 0.0001))</f>
        <v>0.1</v>
      </c>
      <c r="B325" s="304">
        <f t="shared" ref="B325:B388" ca="1" si="152">B324+pas</f>
        <v>14.099999999999968</v>
      </c>
      <c r="D325" s="306">
        <f t="shared" ref="D325:D388" ca="1" si="153">IF(AND(L324&lt;L_rampe,Poussee&lt;Poids*SIN(M324)),0,(-W324+Poussee)/m*COS(M324)-U324/m*SIN(M324))</f>
        <v>-0.74130725959737021</v>
      </c>
      <c r="E325" s="307">
        <f t="shared" ref="E325:E388" ca="1" si="154">IF(AND(L324&lt;L_rampe,Poussee&lt;Poids*SIN(M324)),0,(-W324+Poussee)/m*SIN(M324)+U324/m*COS(M324)-Poids/m)</f>
        <v>-3.0107071248649024</v>
      </c>
      <c r="F325" s="304">
        <f t="shared" ref="F325:F388" ca="1" si="155">SQRT(acc_x^2+acc_z^2)</f>
        <v>3.1006279758855384</v>
      </c>
      <c r="G325" s="306">
        <f t="shared" ref="G325:G388" ca="1" si="156">G324+acc_x*pas</f>
        <v>5.0977733303122141</v>
      </c>
      <c r="H325" s="307">
        <f t="shared" ref="H325:H388" ca="1" si="157">H324+acc_z*pas</f>
        <v>-47.737933019475989</v>
      </c>
      <c r="I325" s="304">
        <f t="shared" ref="I325:I388" ca="1" si="158">SQRT(vit_x^2+vit_z^2)</f>
        <v>48.009348484427676</v>
      </c>
      <c r="J325" s="306">
        <f t="shared" ref="J325:J388" ca="1" si="159">J324+0.5*(vit_x+G324)*pas*(K324&gt;=0)</f>
        <v>141.29029849852014</v>
      </c>
      <c r="K325" s="307">
        <f t="shared" ref="K325:K388" ca="1" si="160">K324+0.5*(vit_z+H324)*pas</f>
        <v>97.529395017461056</v>
      </c>
      <c r="L325" s="304">
        <f t="shared" ca="1" si="145"/>
        <v>171.68264717866182</v>
      </c>
      <c r="M325" s="306">
        <f t="shared" ref="M325:M388" ca="1" si="161">IF(AND(L324&gt;L_rampe,G325&gt;0),ATAN2(G325,H325),$M$4)</f>
        <v>-1.4644128445910329</v>
      </c>
      <c r="N325" s="304">
        <f t="shared" ref="N325:N388" ca="1" si="162">DEGREES(Beta)</f>
        <v>-83.904675459813518</v>
      </c>
      <c r="P325" s="310">
        <f t="shared" ref="P325:P388" ca="1" si="163">MATCH(t-pas/2-T_ini,CdP_t)</f>
        <v>23</v>
      </c>
      <c r="Q325" s="304">
        <f t="shared" ref="Q325:Q388" ca="1" si="164">(INDEX(CdP,2,i_P+1)-INDEX(CdP,2,i_P+0))/(INDEX(CdP,1,i_P+1)-INDEX(CdP,1,i_P+0))*(t-pas/2-T_ini-INDEX(CdP,1,i_P+0))+INDEX(CdP,2,i_P+0)</f>
        <v>0</v>
      </c>
      <c r="R325" s="306">
        <f t="shared" ref="R325:R388" ca="1" si="165">Poussee/(g*ISP)</f>
        <v>0</v>
      </c>
      <c r="S325" s="307">
        <f t="shared" ref="S325:S388" ca="1" si="166">S324-Débit*pas</f>
        <v>0.4270000000000001</v>
      </c>
      <c r="T325" s="304">
        <f t="shared" ca="1" si="146"/>
        <v>4.1888700000000014</v>
      </c>
      <c r="U325" s="311">
        <f t="shared" ca="1" si="147"/>
        <v>0</v>
      </c>
      <c r="V325" s="306">
        <f t="shared" ca="1" si="148"/>
        <v>1.2131106272768029</v>
      </c>
      <c r="W325" s="304">
        <f t="shared" ca="1" si="149"/>
        <v>2.9576857141476629</v>
      </c>
      <c r="Y325" s="314" t="str">
        <f t="shared" ref="Y325:Y388" ca="1" si="167">IF(AND(pos_z&lt;=0,K324&gt;0),"Impact balistique","") &amp; IF(AND(H326&lt;0,vit_z&gt;=0),"Apogée","") &amp; IF(AND(Poussee=0,Q324&gt;0),"Fin de propulsion","") &amp; IF(AND(L326&gt;L_rampe,pos_xz&lt;=L_rampe),"Sortie de rampe","")</f>
        <v/>
      </c>
      <c r="Z325" s="315" t="str">
        <f t="shared" ref="Z325:Z388" ca="1" si="168">IF(ABS(t-T_para)&lt;pas/2,"Para","")</f>
        <v/>
      </c>
      <c r="AA325" s="316" t="str">
        <f t="shared" ref="AA325:AA388" ca="1" si="169">IF(ABS(t-T_satellite)&lt;pas/2,"Satellite","")</f>
        <v/>
      </c>
      <c r="AC325" s="310" t="e">
        <f t="shared" ref="AC325:AC388" ca="1" si="170">IF(ABS(t-ROUND(t,0))&lt;0.001,t,NA())</f>
        <v>#N/A</v>
      </c>
      <c r="AD325" s="323" t="e">
        <f t="shared" ref="AD325:AD388" ca="1" si="171">IF(ABS(t-ROUND(t,0))&lt;0.001,pos_x,NA())</f>
        <v>#N/A</v>
      </c>
      <c r="AE325" s="324" t="e">
        <f t="shared" ca="1" si="150"/>
        <v>#N/A</v>
      </c>
      <c r="AG325" s="306">
        <f t="shared" ref="AG325:AG388" ca="1" si="172">IF(AND(L324&lt;L_rampe,Poussee&lt;Poids*SIN(M324)),0,(-W324+Poussee)/m-Poids*SIN(M324)/m)</f>
        <v>2.912624621410397</v>
      </c>
      <c r="AH325" s="304">
        <f t="shared" ref="AH325:AH388" ca="1" si="173">IF(AND(L324&lt;L_rampe,Poussee&lt;Poids*SIN(M324)), g*SIN(M324), (-W324+Poussee)/m)</f>
        <v>-6.8395847867392261</v>
      </c>
    </row>
    <row r="326" spans="1:34" x14ac:dyDescent="0.3">
      <c r="A326" s="347">
        <f t="shared" ca="1" si="151"/>
        <v>0.1</v>
      </c>
      <c r="B326" s="304">
        <f t="shared" ca="1" si="152"/>
        <v>14.199999999999967</v>
      </c>
      <c r="D326" s="306">
        <f t="shared" ca="1" si="153"/>
        <v>-0.7354935308281827</v>
      </c>
      <c r="E326" s="307">
        <f t="shared" ca="1" si="154"/>
        <v>-2.9224946842657546</v>
      </c>
      <c r="F326" s="304">
        <f t="shared" ca="1" si="155"/>
        <v>3.0136233861336588</v>
      </c>
      <c r="G326" s="306">
        <f t="shared" ca="1" si="156"/>
        <v>5.0242239772293962</v>
      </c>
      <c r="H326" s="307">
        <f t="shared" ca="1" si="157"/>
        <v>-48.030182487902565</v>
      </c>
      <c r="I326" s="304">
        <f t="shared" ca="1" si="158"/>
        <v>48.29224840897956</v>
      </c>
      <c r="J326" s="306">
        <f t="shared" ca="1" si="159"/>
        <v>141.79639836389723</v>
      </c>
      <c r="K326" s="307">
        <f t="shared" ca="1" si="160"/>
        <v>92.740989242092127</v>
      </c>
      <c r="L326" s="304">
        <f t="shared" ca="1" si="145"/>
        <v>169.43172570264073</v>
      </c>
      <c r="M326" s="306">
        <f t="shared" ca="1" si="161"/>
        <v>-1.4665698271165801</v>
      </c>
      <c r="N326" s="304">
        <f t="shared" ca="1" si="162"/>
        <v>-84.028261455010835</v>
      </c>
      <c r="P326" s="310">
        <f t="shared" ca="1" si="163"/>
        <v>23</v>
      </c>
      <c r="Q326" s="304">
        <f t="shared" ca="1" si="164"/>
        <v>0</v>
      </c>
      <c r="R326" s="306">
        <f t="shared" ca="1" si="165"/>
        <v>0</v>
      </c>
      <c r="S326" s="307">
        <f t="shared" ca="1" si="166"/>
        <v>0.4270000000000001</v>
      </c>
      <c r="T326" s="304">
        <f t="shared" ca="1" si="146"/>
        <v>4.1888700000000014</v>
      </c>
      <c r="U326" s="311">
        <f t="shared" ca="1" si="147"/>
        <v>0</v>
      </c>
      <c r="V326" s="306">
        <f t="shared" ca="1" si="148"/>
        <v>1.2136916661213732</v>
      </c>
      <c r="W326" s="304">
        <f t="shared" ca="1" si="149"/>
        <v>2.994078711043779</v>
      </c>
      <c r="Y326" s="314" t="str">
        <f t="shared" ca="1" si="167"/>
        <v/>
      </c>
      <c r="Z326" s="315" t="str">
        <f t="shared" ca="1" si="168"/>
        <v/>
      </c>
      <c r="AA326" s="316" t="str">
        <f t="shared" ca="1" si="169"/>
        <v/>
      </c>
      <c r="AC326" s="310" t="e">
        <f t="shared" ca="1" si="170"/>
        <v>#N/A</v>
      </c>
      <c r="AD326" s="323" t="e">
        <f t="shared" ca="1" si="171"/>
        <v>#N/A</v>
      </c>
      <c r="AE326" s="324" t="e">
        <f t="shared" ca="1" si="150"/>
        <v>#N/A</v>
      </c>
      <c r="AG326" s="306">
        <f t="shared" ca="1" si="172"/>
        <v>2.8278758297504663</v>
      </c>
      <c r="AH326" s="304">
        <f t="shared" ca="1" si="173"/>
        <v>-6.9266644359430032</v>
      </c>
    </row>
    <row r="327" spans="1:34" x14ac:dyDescent="0.3">
      <c r="A327" s="347">
        <f t="shared" ca="1" si="151"/>
        <v>0.1</v>
      </c>
      <c r="B327" s="304">
        <f t="shared" ca="1" si="152"/>
        <v>14.299999999999967</v>
      </c>
      <c r="D327" s="306">
        <f t="shared" ca="1" si="153"/>
        <v>-0.72950270082816193</v>
      </c>
      <c r="E327" s="307">
        <f t="shared" ca="1" si="154"/>
        <v>-2.8361572722488111</v>
      </c>
      <c r="F327" s="304">
        <f t="shared" ca="1" si="155"/>
        <v>2.9284743918029057</v>
      </c>
      <c r="G327" s="306">
        <f t="shared" ca="1" si="156"/>
        <v>4.95127370714658</v>
      </c>
      <c r="H327" s="307">
        <f t="shared" ca="1" si="157"/>
        <v>-48.313798215127449</v>
      </c>
      <c r="I327" s="304">
        <f t="shared" ca="1" si="158"/>
        <v>48.566842694323178</v>
      </c>
      <c r="J327" s="306">
        <f t="shared" ca="1" si="159"/>
        <v>142.29517324811601</v>
      </c>
      <c r="K327" s="307">
        <f t="shared" ca="1" si="160"/>
        <v>87.923790206940623</v>
      </c>
      <c r="L327" s="304">
        <f t="shared" ca="1" si="145"/>
        <v>167.26777697472235</v>
      </c>
      <c r="M327" s="306">
        <f t="shared" ca="1" si="161"/>
        <v>-1.4686712866030325</v>
      </c>
      <c r="N327" s="304">
        <f t="shared" ca="1" si="162"/>
        <v>-84.148666214402283</v>
      </c>
      <c r="P327" s="310">
        <f t="shared" ca="1" si="163"/>
        <v>23</v>
      </c>
      <c r="Q327" s="304">
        <f t="shared" ca="1" si="164"/>
        <v>0</v>
      </c>
      <c r="R327" s="306">
        <f t="shared" ca="1" si="165"/>
        <v>0</v>
      </c>
      <c r="S327" s="307">
        <f t="shared" ca="1" si="166"/>
        <v>0.4270000000000001</v>
      </c>
      <c r="T327" s="304">
        <f t="shared" ca="1" si="146"/>
        <v>4.1888700000000014</v>
      </c>
      <c r="U327" s="311">
        <f t="shared" ca="1" si="147"/>
        <v>0</v>
      </c>
      <c r="V327" s="306">
        <f t="shared" ca="1" si="148"/>
        <v>1.2142764783331159</v>
      </c>
      <c r="W327" s="304">
        <f t="shared" ca="1" si="149"/>
        <v>3.0296838805772741</v>
      </c>
      <c r="Y327" s="314" t="str">
        <f t="shared" ca="1" si="167"/>
        <v/>
      </c>
      <c r="Z327" s="315" t="str">
        <f t="shared" ca="1" si="168"/>
        <v/>
      </c>
      <c r="AA327" s="316" t="str">
        <f t="shared" ca="1" si="169"/>
        <v/>
      </c>
      <c r="AC327" s="310" t="e">
        <f t="shared" ca="1" si="170"/>
        <v>#N/A</v>
      </c>
      <c r="AD327" s="323" t="e">
        <f t="shared" ca="1" si="171"/>
        <v>#N/A</v>
      </c>
      <c r="AE327" s="324" t="e">
        <f t="shared" ca="1" si="150"/>
        <v>#N/A</v>
      </c>
      <c r="AG327" s="306">
        <f t="shared" ca="1" si="172"/>
        <v>2.7448704658965566</v>
      </c>
      <c r="AH327" s="304">
        <f t="shared" ca="1" si="173"/>
        <v>-7.011893936870675</v>
      </c>
    </row>
    <row r="328" spans="1:34" x14ac:dyDescent="0.3">
      <c r="A328" s="347">
        <f t="shared" ca="1" si="151"/>
        <v>0.1</v>
      </c>
      <c r="B328" s="304">
        <f t="shared" ca="1" si="152"/>
        <v>14.399999999999967</v>
      </c>
      <c r="D328" s="306">
        <f t="shared" ca="1" si="153"/>
        <v>-0.72334670078750507</v>
      </c>
      <c r="E328" s="307">
        <f t="shared" ca="1" si="154"/>
        <v>-2.7516896321076176</v>
      </c>
      <c r="F328" s="304">
        <f t="shared" ca="1" si="155"/>
        <v>2.8451759666123859</v>
      </c>
      <c r="G328" s="306">
        <f t="shared" ca="1" si="156"/>
        <v>4.8789390370678296</v>
      </c>
      <c r="H328" s="307">
        <f t="shared" ca="1" si="157"/>
        <v>-48.588967178338208</v>
      </c>
      <c r="I328" s="304">
        <f t="shared" ca="1" si="158"/>
        <v>48.833306027598134</v>
      </c>
      <c r="J328" s="306">
        <f t="shared" ca="1" si="159"/>
        <v>142.78668388532674</v>
      </c>
      <c r="K328" s="307">
        <f t="shared" ca="1" si="160"/>
        <v>83.078651937267338</v>
      </c>
      <c r="L328" s="304">
        <f t="shared" ca="1" si="145"/>
        <v>165.19715343395552</v>
      </c>
      <c r="M328" s="306">
        <f t="shared" ca="1" si="161"/>
        <v>-1.4707192879954438</v>
      </c>
      <c r="N328" s="304">
        <f t="shared" ca="1" si="162"/>
        <v>-84.266008050624365</v>
      </c>
      <c r="P328" s="310">
        <f t="shared" ca="1" si="163"/>
        <v>23</v>
      </c>
      <c r="Q328" s="304">
        <f t="shared" ca="1" si="164"/>
        <v>0</v>
      </c>
      <c r="R328" s="306">
        <f t="shared" ca="1" si="165"/>
        <v>0</v>
      </c>
      <c r="S328" s="307">
        <f t="shared" ca="1" si="166"/>
        <v>0.4270000000000001</v>
      </c>
      <c r="T328" s="304">
        <f t="shared" ca="1" si="146"/>
        <v>4.1888700000000014</v>
      </c>
      <c r="U328" s="311">
        <f t="shared" ca="1" si="147"/>
        <v>0</v>
      </c>
      <c r="V328" s="306">
        <f t="shared" ca="1" si="148"/>
        <v>1.2148649653883286</v>
      </c>
      <c r="W328" s="304">
        <f t="shared" ca="1" si="149"/>
        <v>3.0645044320969408</v>
      </c>
      <c r="Y328" s="314" t="str">
        <f t="shared" ca="1" si="167"/>
        <v/>
      </c>
      <c r="Z328" s="315" t="str">
        <f t="shared" ca="1" si="168"/>
        <v/>
      </c>
      <c r="AA328" s="316" t="str">
        <f t="shared" ca="1" si="169"/>
        <v/>
      </c>
      <c r="AC328" s="310" t="e">
        <f t="shared" ca="1" si="170"/>
        <v>#N/A</v>
      </c>
      <c r="AD328" s="323" t="e">
        <f t="shared" ca="1" si="171"/>
        <v>#N/A</v>
      </c>
      <c r="AE328" s="324" t="e">
        <f t="shared" ca="1" si="150"/>
        <v>#N/A</v>
      </c>
      <c r="AG328" s="306">
        <f t="shared" ca="1" si="172"/>
        <v>2.6636092230608632</v>
      </c>
      <c r="AH328" s="304">
        <f t="shared" ca="1" si="173"/>
        <v>-7.0952784088460739</v>
      </c>
    </row>
    <row r="329" spans="1:34" x14ac:dyDescent="0.3">
      <c r="A329" s="347">
        <f t="shared" ca="1" si="151"/>
        <v>0.1</v>
      </c>
      <c r="B329" s="304">
        <f t="shared" ca="1" si="152"/>
        <v>14.499999999999966</v>
      </c>
      <c r="D329" s="306">
        <f t="shared" ca="1" si="153"/>
        <v>-0.71703712687235877</v>
      </c>
      <c r="E329" s="307">
        <f t="shared" ca="1" si="154"/>
        <v>-2.6690840839467969</v>
      </c>
      <c r="F329" s="304">
        <f t="shared" ca="1" si="155"/>
        <v>2.7637206965414358</v>
      </c>
      <c r="G329" s="306">
        <f t="shared" ca="1" si="156"/>
        <v>4.8072353243805939</v>
      </c>
      <c r="H329" s="307">
        <f t="shared" ca="1" si="157"/>
        <v>-48.855875586732886</v>
      </c>
      <c r="I329" s="304">
        <f t="shared" ca="1" si="158"/>
        <v>49.091812869462203</v>
      </c>
      <c r="J329" s="306">
        <f t="shared" ca="1" si="159"/>
        <v>143.27099260339915</v>
      </c>
      <c r="K329" s="307">
        <f t="shared" ca="1" si="160"/>
        <v>78.206409799013784</v>
      </c>
      <c r="L329" s="304">
        <f t="shared" ca="1" si="145"/>
        <v>163.22628420451937</v>
      </c>
      <c r="M329" s="306">
        <f t="shared" ca="1" si="161"/>
        <v>-1.4727157888033275</v>
      </c>
      <c r="N329" s="304">
        <f t="shared" ca="1" si="162"/>
        <v>-84.380399120710564</v>
      </c>
      <c r="P329" s="310">
        <f t="shared" ca="1" si="163"/>
        <v>23</v>
      </c>
      <c r="Q329" s="304">
        <f t="shared" ca="1" si="164"/>
        <v>0</v>
      </c>
      <c r="R329" s="306">
        <f t="shared" ca="1" si="165"/>
        <v>0</v>
      </c>
      <c r="S329" s="307">
        <f t="shared" ca="1" si="166"/>
        <v>0.4270000000000001</v>
      </c>
      <c r="T329" s="304">
        <f t="shared" ca="1" si="146"/>
        <v>4.1888700000000014</v>
      </c>
      <c r="U329" s="311">
        <f t="shared" ca="1" si="147"/>
        <v>0</v>
      </c>
      <c r="V329" s="306">
        <f t="shared" ca="1" si="148"/>
        <v>1.2154570308673551</v>
      </c>
      <c r="W329" s="304">
        <f t="shared" ca="1" si="149"/>
        <v>3.0985445303063814</v>
      </c>
      <c r="Y329" s="314" t="str">
        <f t="shared" ca="1" si="167"/>
        <v/>
      </c>
      <c r="Z329" s="315" t="str">
        <f t="shared" ca="1" si="168"/>
        <v/>
      </c>
      <c r="AA329" s="316" t="str">
        <f t="shared" ca="1" si="169"/>
        <v/>
      </c>
      <c r="AC329" s="310" t="e">
        <f t="shared" ca="1" si="170"/>
        <v>#N/A</v>
      </c>
      <c r="AD329" s="323" t="e">
        <f t="shared" ca="1" si="171"/>
        <v>#N/A</v>
      </c>
      <c r="AE329" s="324" t="e">
        <f t="shared" ca="1" si="150"/>
        <v>#N/A</v>
      </c>
      <c r="AG329" s="306">
        <f t="shared" ca="1" si="172"/>
        <v>2.5840900153365665</v>
      </c>
      <c r="AH329" s="304">
        <f t="shared" ca="1" si="173"/>
        <v>-7.176825367908525</v>
      </c>
    </row>
    <row r="330" spans="1:34" x14ac:dyDescent="0.3">
      <c r="A330" s="347">
        <f t="shared" ca="1" si="151"/>
        <v>0.1</v>
      </c>
      <c r="B330" s="304">
        <f t="shared" ca="1" si="152"/>
        <v>14.599999999999966</v>
      </c>
      <c r="D330" s="306">
        <f t="shared" ca="1" si="153"/>
        <v>-0.71058523486196878</v>
      </c>
      <c r="E330" s="307">
        <f t="shared" ca="1" si="154"/>
        <v>-2.5883306858066373</v>
      </c>
      <c r="F330" s="304">
        <f t="shared" ca="1" si="155"/>
        <v>2.6840989391399299</v>
      </c>
      <c r="G330" s="306">
        <f t="shared" ca="1" si="156"/>
        <v>4.7361768008943974</v>
      </c>
      <c r="H330" s="307">
        <f t="shared" ca="1" si="157"/>
        <v>-49.114708655313549</v>
      </c>
      <c r="I330" s="304">
        <f t="shared" ca="1" si="158"/>
        <v>49.342537196476449</v>
      </c>
      <c r="J330" s="306">
        <f t="shared" ca="1" si="159"/>
        <v>143.74816320966289</v>
      </c>
      <c r="K330" s="307">
        <f t="shared" ca="1" si="160"/>
        <v>73.307880586911466</v>
      </c>
      <c r="L330" s="304">
        <f t="shared" ca="1" si="145"/>
        <v>161.36164284704327</v>
      </c>
      <c r="M330" s="306">
        <f t="shared" ca="1" si="161"/>
        <v>-1.4746626460890497</v>
      </c>
      <c r="N330" s="304">
        <f t="shared" ca="1" si="162"/>
        <v>-84.491945826496746</v>
      </c>
      <c r="P330" s="310">
        <f t="shared" ca="1" si="163"/>
        <v>23</v>
      </c>
      <c r="Q330" s="304">
        <f t="shared" ca="1" si="164"/>
        <v>0</v>
      </c>
      <c r="R330" s="306">
        <f t="shared" ca="1" si="165"/>
        <v>0</v>
      </c>
      <c r="S330" s="307">
        <f t="shared" ca="1" si="166"/>
        <v>0.4270000000000001</v>
      </c>
      <c r="T330" s="304">
        <f t="shared" ca="1" si="146"/>
        <v>4.1888700000000014</v>
      </c>
      <c r="U330" s="311">
        <f t="shared" ca="1" si="147"/>
        <v>0</v>
      </c>
      <c r="V330" s="306">
        <f t="shared" ca="1" si="148"/>
        <v>1.2160525804463136</v>
      </c>
      <c r="W330" s="304">
        <f t="shared" ca="1" si="149"/>
        <v>3.1318092291047335</v>
      </c>
      <c r="Y330" s="314" t="str">
        <f t="shared" ca="1" si="167"/>
        <v/>
      </c>
      <c r="Z330" s="315" t="str">
        <f t="shared" ca="1" si="168"/>
        <v/>
      </c>
      <c r="AA330" s="316" t="str">
        <f t="shared" ca="1" si="169"/>
        <v/>
      </c>
      <c r="AC330" s="310" t="e">
        <f t="shared" ca="1" si="170"/>
        <v>#N/A</v>
      </c>
      <c r="AD330" s="323" t="e">
        <f t="shared" ca="1" si="171"/>
        <v>#N/A</v>
      </c>
      <c r="AE330" s="324" t="e">
        <f t="shared" ca="1" si="150"/>
        <v>#N/A</v>
      </c>
      <c r="AG330" s="306">
        <f t="shared" ca="1" si="172"/>
        <v>2.5063081668678304</v>
      </c>
      <c r="AH330" s="304">
        <f t="shared" ca="1" si="173"/>
        <v>-7.2565445674622495</v>
      </c>
    </row>
    <row r="331" spans="1:34" x14ac:dyDescent="0.3">
      <c r="A331" s="347">
        <f t="shared" ca="1" si="151"/>
        <v>0.1</v>
      </c>
      <c r="B331" s="304">
        <f t="shared" ca="1" si="152"/>
        <v>14.699999999999966</v>
      </c>
      <c r="D331" s="306">
        <f t="shared" ca="1" si="153"/>
        <v>-0.70400193619272111</v>
      </c>
      <c r="E331" s="307">
        <f t="shared" ca="1" si="154"/>
        <v>-2.5094173903405528</v>
      </c>
      <c r="F331" s="304">
        <f t="shared" ca="1" si="155"/>
        <v>2.606298978457132</v>
      </c>
      <c r="G331" s="306">
        <f t="shared" ca="1" si="156"/>
        <v>4.6657766072751254</v>
      </c>
      <c r="H331" s="307">
        <f t="shared" ca="1" si="157"/>
        <v>-49.365650394347604</v>
      </c>
      <c r="I331" s="304">
        <f t="shared" ca="1" si="158"/>
        <v>49.585652261576108</v>
      </c>
      <c r="J331" s="306">
        <f t="shared" ca="1" si="159"/>
        <v>144.21826088007137</v>
      </c>
      <c r="K331" s="307">
        <f t="shared" ca="1" si="160"/>
        <v>68.383862634428411</v>
      </c>
      <c r="L331" s="304">
        <f t="shared" ca="1" si="145"/>
        <v>159.60970972994312</v>
      </c>
      <c r="M331" s="306">
        <f t="shared" ca="1" si="161"/>
        <v>-1.4765616229241556</v>
      </c>
      <c r="N331" s="304">
        <f t="shared" ca="1" si="162"/>
        <v>-84.600749184541414</v>
      </c>
      <c r="P331" s="310">
        <f t="shared" ca="1" si="163"/>
        <v>23</v>
      </c>
      <c r="Q331" s="304">
        <f t="shared" ca="1" si="164"/>
        <v>0</v>
      </c>
      <c r="R331" s="306">
        <f t="shared" ca="1" si="165"/>
        <v>0</v>
      </c>
      <c r="S331" s="307">
        <f t="shared" ca="1" si="166"/>
        <v>0.4270000000000001</v>
      </c>
      <c r="T331" s="304">
        <f t="shared" ca="1" si="146"/>
        <v>4.1888700000000014</v>
      </c>
      <c r="U331" s="311">
        <f t="shared" ca="1" si="147"/>
        <v>0</v>
      </c>
      <c r="V331" s="306">
        <f t="shared" ca="1" si="148"/>
        <v>1.216651521886309</v>
      </c>
      <c r="W331" s="304">
        <f t="shared" ca="1" si="149"/>
        <v>3.1643044074193067</v>
      </c>
      <c r="Y331" s="314" t="str">
        <f t="shared" ca="1" si="167"/>
        <v/>
      </c>
      <c r="Z331" s="315" t="str">
        <f t="shared" ca="1" si="168"/>
        <v/>
      </c>
      <c r="AA331" s="316" t="str">
        <f t="shared" ca="1" si="169"/>
        <v/>
      </c>
      <c r="AC331" s="310" t="e">
        <f t="shared" ca="1" si="170"/>
        <v>#N/A</v>
      </c>
      <c r="AD331" s="323" t="e">
        <f t="shared" ca="1" si="171"/>
        <v>#N/A</v>
      </c>
      <c r="AE331" s="324" t="e">
        <f t="shared" ca="1" si="150"/>
        <v>#N/A</v>
      </c>
      <c r="AG331" s="306">
        <f t="shared" ca="1" si="172"/>
        <v>2.430256593934045</v>
      </c>
      <c r="AH331" s="304">
        <f t="shared" ca="1" si="173"/>
        <v>-7.3344478433366103</v>
      </c>
    </row>
    <row r="332" spans="1:34" x14ac:dyDescent="0.3">
      <c r="A332" s="347">
        <f t="shared" ca="1" si="151"/>
        <v>0.1</v>
      </c>
      <c r="B332" s="304">
        <f t="shared" ca="1" si="152"/>
        <v>14.799999999999965</v>
      </c>
      <c r="D332" s="306">
        <f t="shared" ca="1" si="153"/>
        <v>-0.69729779531025038</v>
      </c>
      <c r="E332" s="307">
        <f t="shared" ca="1" si="154"/>
        <v>-2.4323301967861699</v>
      </c>
      <c r="F332" s="304">
        <f t="shared" ca="1" si="155"/>
        <v>2.5303071753331419</v>
      </c>
      <c r="G332" s="306">
        <f t="shared" ca="1" si="156"/>
        <v>4.5960468277441002</v>
      </c>
      <c r="H332" s="307">
        <f t="shared" ca="1" si="157"/>
        <v>-49.608883414026224</v>
      </c>
      <c r="I332" s="304">
        <f t="shared" ca="1" si="158"/>
        <v>49.821330371932689</v>
      </c>
      <c r="J332" s="306">
        <f t="shared" ca="1" si="159"/>
        <v>144.68135205182233</v>
      </c>
      <c r="K332" s="307">
        <f t="shared" ca="1" si="160"/>
        <v>63.435135944009716</v>
      </c>
      <c r="L332" s="304">
        <f t="shared" ca="1" si="145"/>
        <v>157.97692902376076</v>
      </c>
      <c r="M332" s="306">
        <f t="shared" ca="1" si="161"/>
        <v>-1.4784143943598067</v>
      </c>
      <c r="N332" s="304">
        <f t="shared" ca="1" si="162"/>
        <v>-84.706905168206617</v>
      </c>
      <c r="P332" s="310">
        <f t="shared" ca="1" si="163"/>
        <v>23</v>
      </c>
      <c r="Q332" s="304">
        <f t="shared" ca="1" si="164"/>
        <v>0</v>
      </c>
      <c r="R332" s="306">
        <f t="shared" ca="1" si="165"/>
        <v>0</v>
      </c>
      <c r="S332" s="307">
        <f t="shared" ca="1" si="166"/>
        <v>0.4270000000000001</v>
      </c>
      <c r="T332" s="304">
        <f t="shared" ca="1" si="146"/>
        <v>4.1888700000000014</v>
      </c>
      <c r="U332" s="311">
        <f t="shared" ca="1" si="147"/>
        <v>0</v>
      </c>
      <c r="V332" s="306">
        <f t="shared" ca="1" si="148"/>
        <v>1.2172537650203086</v>
      </c>
      <c r="W332" s="304">
        <f t="shared" ca="1" si="149"/>
        <v>3.1960367071194273</v>
      </c>
      <c r="Y332" s="314" t="str">
        <f t="shared" ca="1" si="167"/>
        <v/>
      </c>
      <c r="Z332" s="315" t="str">
        <f t="shared" ca="1" si="168"/>
        <v/>
      </c>
      <c r="AA332" s="316" t="str">
        <f t="shared" ca="1" si="169"/>
        <v/>
      </c>
      <c r="AC332" s="310" t="e">
        <f t="shared" ca="1" si="170"/>
        <v>#N/A</v>
      </c>
      <c r="AD332" s="323" t="e">
        <f t="shared" ca="1" si="171"/>
        <v>#N/A</v>
      </c>
      <c r="AE332" s="324" t="e">
        <f t="shared" ca="1" si="150"/>
        <v>#N/A</v>
      </c>
      <c r="AG332" s="306">
        <f t="shared" ca="1" si="172"/>
        <v>2.3559259799637964</v>
      </c>
      <c r="AH332" s="304">
        <f t="shared" ca="1" si="173"/>
        <v>-7.4105489635112551</v>
      </c>
    </row>
    <row r="333" spans="1:34" x14ac:dyDescent="0.3">
      <c r="A333" s="347">
        <f t="shared" ca="1" si="151"/>
        <v>0.1</v>
      </c>
      <c r="B333" s="304">
        <f t="shared" ca="1" si="152"/>
        <v>14.899999999999965</v>
      </c>
      <c r="D333" s="306">
        <f t="shared" ca="1" si="153"/>
        <v>-0.69048302823344943</v>
      </c>
      <c r="E333" s="307">
        <f t="shared" ca="1" si="154"/>
        <v>-2.3570532980165266</v>
      </c>
      <c r="F333" s="304">
        <f t="shared" ca="1" si="155"/>
        <v>2.4561081128421485</v>
      </c>
      <c r="G333" s="306">
        <f t="shared" ca="1" si="156"/>
        <v>4.5269985249207556</v>
      </c>
      <c r="H333" s="307">
        <f t="shared" ca="1" si="157"/>
        <v>-49.844588743827877</v>
      </c>
      <c r="I333" s="304">
        <f t="shared" ca="1" si="158"/>
        <v>50.049742683514047</v>
      </c>
      <c r="J333" s="306">
        <f t="shared" ca="1" si="159"/>
        <v>145.13750431945556</v>
      </c>
      <c r="K333" s="307">
        <f t="shared" ca="1" si="160"/>
        <v>58.462462336117014</v>
      </c>
      <c r="L333" s="304">
        <f t="shared" ca="1" si="145"/>
        <v>156.46966051756451</v>
      </c>
      <c r="M333" s="306">
        <f t="shared" ca="1" si="161"/>
        <v>-1.4802225529530086</v>
      </c>
      <c r="N333" s="304">
        <f t="shared" ca="1" si="162"/>
        <v>-84.810505024287409</v>
      </c>
      <c r="P333" s="310">
        <f t="shared" ca="1" si="163"/>
        <v>23</v>
      </c>
      <c r="Q333" s="304">
        <f t="shared" ca="1" si="164"/>
        <v>0</v>
      </c>
      <c r="R333" s="306">
        <f t="shared" ca="1" si="165"/>
        <v>0</v>
      </c>
      <c r="S333" s="307">
        <f t="shared" ca="1" si="166"/>
        <v>0.4270000000000001</v>
      </c>
      <c r="T333" s="304">
        <f t="shared" ca="1" si="146"/>
        <v>4.1888700000000014</v>
      </c>
      <c r="U333" s="311">
        <f t="shared" ca="1" si="147"/>
        <v>0</v>
      </c>
      <c r="V333" s="306">
        <f t="shared" ca="1" si="148"/>
        <v>1.2178592217378359</v>
      </c>
      <c r="W333" s="304">
        <f t="shared" ca="1" si="149"/>
        <v>3.2270134730827236</v>
      </c>
      <c r="Y333" s="314" t="str">
        <f t="shared" ca="1" si="167"/>
        <v/>
      </c>
      <c r="Z333" s="315" t="str">
        <f t="shared" ca="1" si="168"/>
        <v/>
      </c>
      <c r="AA333" s="316" t="str">
        <f t="shared" ca="1" si="169"/>
        <v/>
      </c>
      <c r="AC333" s="310" t="e">
        <f t="shared" ca="1" si="170"/>
        <v>#N/A</v>
      </c>
      <c r="AD333" s="323" t="e">
        <f t="shared" ca="1" si="171"/>
        <v>#N/A</v>
      </c>
      <c r="AE333" s="324" t="e">
        <f t="shared" ca="1" si="150"/>
        <v>#N/A</v>
      </c>
      <c r="AG333" s="306">
        <f t="shared" ca="1" si="172"/>
        <v>2.2833049435089068</v>
      </c>
      <c r="AH333" s="304">
        <f t="shared" ca="1" si="173"/>
        <v>-7.4848634827152845</v>
      </c>
    </row>
    <row r="334" spans="1:34" x14ac:dyDescent="0.3">
      <c r="A334" s="347">
        <f t="shared" ca="1" si="151"/>
        <v>0.1</v>
      </c>
      <c r="B334" s="304">
        <f t="shared" ca="1" si="152"/>
        <v>14.999999999999964</v>
      </c>
      <c r="D334" s="306">
        <f t="shared" ca="1" si="153"/>
        <v>-0.68356750223715301</v>
      </c>
      <c r="E334" s="307">
        <f t="shared" ca="1" si="154"/>
        <v>-2.2835692225009083</v>
      </c>
      <c r="F334" s="304">
        <f t="shared" ca="1" si="155"/>
        <v>2.3836847367192129</v>
      </c>
      <c r="G334" s="306">
        <f t="shared" ca="1" si="156"/>
        <v>4.4586417746970399</v>
      </c>
      <c r="H334" s="307">
        <f t="shared" ca="1" si="157"/>
        <v>-50.07294566607797</v>
      </c>
      <c r="I334" s="304">
        <f t="shared" ca="1" si="158"/>
        <v>50.271059011652717</v>
      </c>
      <c r="J334" s="306">
        <f t="shared" ca="1" si="159"/>
        <v>145.58678633443645</v>
      </c>
      <c r="K334" s="307">
        <f t="shared" ca="1" si="160"/>
        <v>53.466585615621725</v>
      </c>
      <c r="L334" s="304">
        <f t="shared" ca="1" si="145"/>
        <v>155.09412668628514</v>
      </c>
      <c r="M334" s="306">
        <f t="shared" ca="1" si="161"/>
        <v>-1.4819876138863035</v>
      </c>
      <c r="N334" s="304">
        <f t="shared" ca="1" si="162"/>
        <v>-84.911635566348622</v>
      </c>
      <c r="P334" s="310">
        <f t="shared" ca="1" si="163"/>
        <v>23</v>
      </c>
      <c r="Q334" s="304">
        <f t="shared" ca="1" si="164"/>
        <v>0</v>
      </c>
      <c r="R334" s="306">
        <f t="shared" ca="1" si="165"/>
        <v>0</v>
      </c>
      <c r="S334" s="307">
        <f t="shared" ca="1" si="166"/>
        <v>0.4270000000000001</v>
      </c>
      <c r="T334" s="304">
        <f t="shared" ca="1" si="146"/>
        <v>4.1888700000000014</v>
      </c>
      <c r="U334" s="311">
        <f t="shared" ca="1" si="147"/>
        <v>0</v>
      </c>
      <c r="V334" s="306">
        <f t="shared" ca="1" si="148"/>
        <v>1.218467805967661</v>
      </c>
      <c r="W334" s="304">
        <f t="shared" ca="1" si="149"/>
        <v>3.2572426954685314</v>
      </c>
      <c r="Y334" s="314" t="str">
        <f t="shared" ca="1" si="167"/>
        <v/>
      </c>
      <c r="Z334" s="315" t="str">
        <f t="shared" ca="1" si="168"/>
        <v/>
      </c>
      <c r="AA334" s="316" t="str">
        <f t="shared" ca="1" si="169"/>
        <v/>
      </c>
      <c r="AC334" s="310">
        <f t="shared" ca="1" si="170"/>
        <v>14.999999999999964</v>
      </c>
      <c r="AD334" s="323">
        <f t="shared" ca="1" si="171"/>
        <v>145.58678633443645</v>
      </c>
      <c r="AE334" s="324" t="e">
        <f t="shared" ca="1" si="150"/>
        <v>#N/A</v>
      </c>
      <c r="AG334" s="306">
        <f t="shared" ca="1" si="172"/>
        <v>2.2123801992249303</v>
      </c>
      <c r="AH334" s="304">
        <f t="shared" ca="1" si="173"/>
        <v>-7.5574086020672668</v>
      </c>
    </row>
    <row r="335" spans="1:34" x14ac:dyDescent="0.3">
      <c r="A335" s="347">
        <f t="shared" ca="1" si="151"/>
        <v>0.1</v>
      </c>
      <c r="B335" s="304">
        <f t="shared" ca="1" si="152"/>
        <v>15.099999999999964</v>
      </c>
      <c r="D335" s="306">
        <f t="shared" ca="1" si="153"/>
        <v>-0.67656073656341353</v>
      </c>
      <c r="E335" s="307">
        <f t="shared" ca="1" si="154"/>
        <v>-2.2118589710442951</v>
      </c>
      <c r="F335" s="304">
        <f t="shared" ca="1" si="155"/>
        <v>2.3130184906412565</v>
      </c>
      <c r="G335" s="306">
        <f t="shared" ca="1" si="156"/>
        <v>4.390985701040699</v>
      </c>
      <c r="H335" s="307">
        <f t="shared" ca="1" si="157"/>
        <v>-50.294131563182397</v>
      </c>
      <c r="I335" s="304">
        <f t="shared" ca="1" si="158"/>
        <v>50.485447656938163</v>
      </c>
      <c r="J335" s="306">
        <f t="shared" ca="1" si="159"/>
        <v>146.02926770822333</v>
      </c>
      <c r="K335" s="307">
        <f t="shared" ca="1" si="160"/>
        <v>48.448231754158705</v>
      </c>
      <c r="L335" s="304">
        <f t="shared" ca="1" si="145"/>
        <v>153.85635569421441</v>
      </c>
      <c r="M335" s="306">
        <f t="shared" ca="1" si="161"/>
        <v>-1.4837110197150116</v>
      </c>
      <c r="N335" s="304">
        <f t="shared" ca="1" si="162"/>
        <v>-85.010379446721842</v>
      </c>
      <c r="P335" s="310">
        <f t="shared" ca="1" si="163"/>
        <v>23</v>
      </c>
      <c r="Q335" s="304">
        <f t="shared" ca="1" si="164"/>
        <v>0</v>
      </c>
      <c r="R335" s="306">
        <f t="shared" ca="1" si="165"/>
        <v>0</v>
      </c>
      <c r="S335" s="307">
        <f t="shared" ca="1" si="166"/>
        <v>0.4270000000000001</v>
      </c>
      <c r="T335" s="304">
        <f t="shared" ca="1" si="146"/>
        <v>4.1888700000000014</v>
      </c>
      <c r="U335" s="311">
        <f t="shared" ca="1" si="147"/>
        <v>0</v>
      </c>
      <c r="V335" s="306">
        <f t="shared" ca="1" si="148"/>
        <v>1.2190794336586268</v>
      </c>
      <c r="W335" s="304">
        <f t="shared" ca="1" si="149"/>
        <v>3.2867329542377028</v>
      </c>
      <c r="Y335" s="314" t="str">
        <f t="shared" ca="1" si="167"/>
        <v/>
      </c>
      <c r="Z335" s="315" t="str">
        <f t="shared" ca="1" si="168"/>
        <v/>
      </c>
      <c r="AA335" s="316" t="str">
        <f t="shared" ca="1" si="169"/>
        <v/>
      </c>
      <c r="AC335" s="310" t="e">
        <f t="shared" ca="1" si="170"/>
        <v>#N/A</v>
      </c>
      <c r="AD335" s="323" t="e">
        <f t="shared" ca="1" si="171"/>
        <v>#N/A</v>
      </c>
      <c r="AE335" s="324" t="e">
        <f t="shared" ca="1" si="150"/>
        <v>#N/A</v>
      </c>
      <c r="AG335" s="306">
        <f t="shared" ca="1" si="172"/>
        <v>2.14313671191994</v>
      </c>
      <c r="AH335" s="304">
        <f t="shared" ca="1" si="173"/>
        <v>-7.6282030338841462</v>
      </c>
    </row>
    <row r="336" spans="1:34" x14ac:dyDescent="0.3">
      <c r="A336" s="347">
        <f t="shared" ca="1" si="151"/>
        <v>0.1</v>
      </c>
      <c r="B336" s="304">
        <f t="shared" ca="1" si="152"/>
        <v>15.199999999999964</v>
      </c>
      <c r="D336" s="306">
        <f t="shared" ca="1" si="153"/>
        <v>-0.66947190407468271</v>
      </c>
      <c r="E336" s="307">
        <f t="shared" ca="1" si="154"/>
        <v>-2.1419021482110088</v>
      </c>
      <c r="F336" s="304">
        <f t="shared" ca="1" si="155"/>
        <v>2.2440894462690908</v>
      </c>
      <c r="G336" s="306">
        <f t="shared" ca="1" si="156"/>
        <v>4.3240385106332306</v>
      </c>
      <c r="H336" s="307">
        <f t="shared" ca="1" si="157"/>
        <v>-50.508321778003499</v>
      </c>
      <c r="I336" s="304">
        <f t="shared" ca="1" si="158"/>
        <v>50.693075245755033</v>
      </c>
      <c r="J336" s="306">
        <f t="shared" ca="1" si="159"/>
        <v>146.46501891880703</v>
      </c>
      <c r="K336" s="307">
        <f t="shared" ca="1" si="160"/>
        <v>43.408109087099412</v>
      </c>
      <c r="L336" s="304">
        <f t="shared" ca="1" si="145"/>
        <v>152.76212129125474</v>
      </c>
      <c r="M336" s="306">
        <f t="shared" ca="1" si="161"/>
        <v>-1.4853941447729007</v>
      </c>
      <c r="N336" s="304">
        <f t="shared" ca="1" si="162"/>
        <v>-85.106815408931595</v>
      </c>
      <c r="P336" s="310">
        <f t="shared" ca="1" si="163"/>
        <v>23</v>
      </c>
      <c r="Q336" s="304">
        <f t="shared" ca="1" si="164"/>
        <v>0</v>
      </c>
      <c r="R336" s="306">
        <f t="shared" ca="1" si="165"/>
        <v>0</v>
      </c>
      <c r="S336" s="307">
        <f t="shared" ca="1" si="166"/>
        <v>0.4270000000000001</v>
      </c>
      <c r="T336" s="304">
        <f t="shared" ca="1" si="146"/>
        <v>4.1888700000000014</v>
      </c>
      <c r="U336" s="311">
        <f t="shared" ca="1" si="147"/>
        <v>0</v>
      </c>
      <c r="V336" s="306">
        <f t="shared" ca="1" si="148"/>
        <v>1.2196940227587754</v>
      </c>
      <c r="W336" s="304">
        <f t="shared" ca="1" si="149"/>
        <v>3.3154933659440351</v>
      </c>
      <c r="Y336" s="314" t="str">
        <f t="shared" ca="1" si="167"/>
        <v/>
      </c>
      <c r="Z336" s="315" t="str">
        <f t="shared" ca="1" si="168"/>
        <v/>
      </c>
      <c r="AA336" s="316" t="str">
        <f t="shared" ca="1" si="169"/>
        <v/>
      </c>
      <c r="AC336" s="310" t="e">
        <f t="shared" ca="1" si="170"/>
        <v>#N/A</v>
      </c>
      <c r="AD336" s="323" t="e">
        <f t="shared" ca="1" si="171"/>
        <v>#N/A</v>
      </c>
      <c r="AE336" s="324" t="e">
        <f t="shared" ca="1" si="150"/>
        <v>#N/A</v>
      </c>
      <c r="AG336" s="306">
        <f t="shared" ca="1" si="172"/>
        <v>2.0755578437491868</v>
      </c>
      <c r="AH336" s="304">
        <f t="shared" ca="1" si="173"/>
        <v>-7.6972668717510588</v>
      </c>
    </row>
    <row r="337" spans="1:34" x14ac:dyDescent="0.3">
      <c r="A337" s="347">
        <f t="shared" ca="1" si="151"/>
        <v>0.1</v>
      </c>
      <c r="B337" s="304">
        <f t="shared" ca="1" si="152"/>
        <v>15.299999999999963</v>
      </c>
      <c r="D337" s="306">
        <f t="shared" ca="1" si="153"/>
        <v>-0.66230983376571617</v>
      </c>
      <c r="E337" s="307">
        <f t="shared" ca="1" si="154"/>
        <v>-2.073677088371733</v>
      </c>
      <c r="F337" s="304">
        <f t="shared" ca="1" si="155"/>
        <v>2.1768764279904911</v>
      </c>
      <c r="G337" s="306">
        <f t="shared" ca="1" si="156"/>
        <v>4.2578075272566593</v>
      </c>
      <c r="H337" s="307">
        <f t="shared" ca="1" si="157"/>
        <v>-50.715689486840674</v>
      </c>
      <c r="I337" s="304">
        <f t="shared" ca="1" si="158"/>
        <v>50.894106584798259</v>
      </c>
      <c r="J337" s="306">
        <f t="shared" ca="1" si="159"/>
        <v>146.89411122070152</v>
      </c>
      <c r="K337" s="307">
        <f t="shared" ca="1" si="160"/>
        <v>38.346908523857202</v>
      </c>
      <c r="L337" s="304">
        <f t="shared" ca="1" si="145"/>
        <v>151.81688082903332</v>
      </c>
      <c r="M337" s="306">
        <f t="shared" ca="1" si="161"/>
        <v>-1.4870382992642943</v>
      </c>
      <c r="N337" s="304">
        <f t="shared" ca="1" si="162"/>
        <v>-85.201018522155934</v>
      </c>
      <c r="P337" s="310">
        <f t="shared" ca="1" si="163"/>
        <v>23</v>
      </c>
      <c r="Q337" s="304">
        <f t="shared" ca="1" si="164"/>
        <v>0</v>
      </c>
      <c r="R337" s="306">
        <f t="shared" ca="1" si="165"/>
        <v>0</v>
      </c>
      <c r="S337" s="307">
        <f t="shared" ca="1" si="166"/>
        <v>0.4270000000000001</v>
      </c>
      <c r="T337" s="304">
        <f t="shared" ca="1" si="146"/>
        <v>4.1888700000000014</v>
      </c>
      <c r="U337" s="311">
        <f t="shared" ca="1" si="147"/>
        <v>0</v>
      </c>
      <c r="V337" s="306">
        <f t="shared" ca="1" si="148"/>
        <v>1.2203114931929098</v>
      </c>
      <c r="W337" s="304">
        <f t="shared" ca="1" si="149"/>
        <v>3.3435335328096847</v>
      </c>
      <c r="Y337" s="314" t="str">
        <f t="shared" ca="1" si="167"/>
        <v/>
      </c>
      <c r="Z337" s="315" t="str">
        <f t="shared" ca="1" si="168"/>
        <v/>
      </c>
      <c r="AA337" s="316" t="str">
        <f t="shared" ca="1" si="169"/>
        <v/>
      </c>
      <c r="AC337" s="310" t="e">
        <f t="shared" ca="1" si="170"/>
        <v>#N/A</v>
      </c>
      <c r="AD337" s="323" t="e">
        <f t="shared" ca="1" si="171"/>
        <v>#N/A</v>
      </c>
      <c r="AE337" s="324" t="e">
        <f t="shared" ca="1" si="150"/>
        <v>#N/A</v>
      </c>
      <c r="AG337" s="306">
        <f t="shared" ca="1" si="172"/>
        <v>2.0096254946480023</v>
      </c>
      <c r="AH337" s="304">
        <f t="shared" ca="1" si="173"/>
        <v>-7.7646214659110875</v>
      </c>
    </row>
    <row r="338" spans="1:34" x14ac:dyDescent="0.3">
      <c r="A338" s="347">
        <f t="shared" ca="1" si="151"/>
        <v>0.1</v>
      </c>
      <c r="B338" s="304">
        <f t="shared" ca="1" si="152"/>
        <v>15.399999999999963</v>
      </c>
      <c r="D338" s="306">
        <f t="shared" ca="1" si="153"/>
        <v>-0.65508301405459213</v>
      </c>
      <c r="E338" s="307">
        <f t="shared" ca="1" si="154"/>
        <v>-2.0071609763435658</v>
      </c>
      <c r="F338" s="304">
        <f t="shared" ca="1" si="155"/>
        <v>2.1113571323343914</v>
      </c>
      <c r="G338" s="306">
        <f t="shared" ca="1" si="156"/>
        <v>4.1922992258512002</v>
      </c>
      <c r="H338" s="307">
        <f t="shared" ca="1" si="157"/>
        <v>-50.916405584475029</v>
      </c>
      <c r="I338" s="304">
        <f t="shared" ca="1" si="158"/>
        <v>51.08870452890573</v>
      </c>
      <c r="J338" s="306">
        <f t="shared" ca="1" si="159"/>
        <v>147.31661655835691</v>
      </c>
      <c r="K338" s="307">
        <f t="shared" ca="1" si="160"/>
        <v>33.265303770291418</v>
      </c>
      <c r="L338" s="304">
        <f t="shared" ca="1" si="145"/>
        <v>151.02571287410541</v>
      </c>
      <c r="M338" s="306">
        <f t="shared" ca="1" si="161"/>
        <v>-1.4886447330680435</v>
      </c>
      <c r="N338" s="304">
        <f t="shared" ca="1" si="162"/>
        <v>-85.293060399177904</v>
      </c>
      <c r="P338" s="310">
        <f t="shared" ca="1" si="163"/>
        <v>23</v>
      </c>
      <c r="Q338" s="304">
        <f t="shared" ca="1" si="164"/>
        <v>0</v>
      </c>
      <c r="R338" s="306">
        <f t="shared" ca="1" si="165"/>
        <v>0</v>
      </c>
      <c r="S338" s="307">
        <f t="shared" ca="1" si="166"/>
        <v>0.4270000000000001</v>
      </c>
      <c r="T338" s="304">
        <f t="shared" ca="1" si="146"/>
        <v>4.1888700000000014</v>
      </c>
      <c r="U338" s="311">
        <f t="shared" ca="1" si="147"/>
        <v>0</v>
      </c>
      <c r="V338" s="306">
        <f t="shared" ca="1" si="148"/>
        <v>1.2209317668387354</v>
      </c>
      <c r="W338" s="304">
        <f t="shared" ca="1" si="149"/>
        <v>3.3708634940853068</v>
      </c>
      <c r="Y338" s="314" t="str">
        <f t="shared" ca="1" si="167"/>
        <v/>
      </c>
      <c r="Z338" s="315" t="str">
        <f t="shared" ca="1" si="168"/>
        <v/>
      </c>
      <c r="AA338" s="316" t="str">
        <f t="shared" ca="1" si="169"/>
        <v/>
      </c>
      <c r="AC338" s="310" t="e">
        <f t="shared" ca="1" si="170"/>
        <v>#N/A</v>
      </c>
      <c r="AD338" s="323" t="e">
        <f t="shared" ca="1" si="171"/>
        <v>#N/A</v>
      </c>
      <c r="AE338" s="324" t="e">
        <f t="shared" ca="1" si="150"/>
        <v>#N/A</v>
      </c>
      <c r="AG338" s="306">
        <f t="shared" ca="1" si="172"/>
        <v>1.9453202361095547</v>
      </c>
      <c r="AH338" s="304">
        <f t="shared" ca="1" si="173"/>
        <v>-7.8302893040039434</v>
      </c>
    </row>
    <row r="339" spans="1:34" x14ac:dyDescent="0.3">
      <c r="A339" s="347">
        <f t="shared" ca="1" si="151"/>
        <v>0.1</v>
      </c>
      <c r="B339" s="304">
        <f t="shared" ca="1" si="152"/>
        <v>15.499999999999963</v>
      </c>
      <c r="D339" s="306">
        <f t="shared" ca="1" si="153"/>
        <v>-0.64779959677702925</v>
      </c>
      <c r="E339" s="307">
        <f t="shared" ca="1" si="154"/>
        <v>-1.9423299626205308</v>
      </c>
      <c r="F339" s="304">
        <f t="shared" ca="1" si="155"/>
        <v>2.0475082420537296</v>
      </c>
      <c r="G339" s="306">
        <f t="shared" ca="1" si="156"/>
        <v>4.127519266173497</v>
      </c>
      <c r="H339" s="307">
        <f t="shared" ca="1" si="157"/>
        <v>-51.110638580737081</v>
      </c>
      <c r="I339" s="304">
        <f t="shared" ca="1" si="158"/>
        <v>51.277029861560464</v>
      </c>
      <c r="J339" s="306">
        <f t="shared" ca="1" si="159"/>
        <v>147.73260748295814</v>
      </c>
      <c r="K339" s="307">
        <f t="shared" ca="1" si="160"/>
        <v>28.16395156203081</v>
      </c>
      <c r="L339" s="304">
        <f t="shared" ca="1" si="145"/>
        <v>150.39325610313182</v>
      </c>
      <c r="M339" s="306">
        <f t="shared" ca="1" si="161"/>
        <v>-1.4902146392764761</v>
      </c>
      <c r="N339" s="304">
        <f t="shared" ca="1" si="162"/>
        <v>-85.383009399152485</v>
      </c>
      <c r="P339" s="310">
        <f t="shared" ca="1" si="163"/>
        <v>23</v>
      </c>
      <c r="Q339" s="304">
        <f t="shared" ca="1" si="164"/>
        <v>0</v>
      </c>
      <c r="R339" s="306">
        <f t="shared" ca="1" si="165"/>
        <v>0</v>
      </c>
      <c r="S339" s="307">
        <f t="shared" ca="1" si="166"/>
        <v>0.4270000000000001</v>
      </c>
      <c r="T339" s="304">
        <f t="shared" ca="1" si="146"/>
        <v>4.1888700000000014</v>
      </c>
      <c r="U339" s="311">
        <f t="shared" ca="1" si="147"/>
        <v>0</v>
      </c>
      <c r="V339" s="306">
        <f t="shared" ca="1" si="148"/>
        <v>1.2215547675017115</v>
      </c>
      <c r="W339" s="304">
        <f t="shared" ca="1" si="149"/>
        <v>3.3974936796851161</v>
      </c>
      <c r="Y339" s="314" t="str">
        <f t="shared" ca="1" si="167"/>
        <v/>
      </c>
      <c r="Z339" s="315" t="str">
        <f t="shared" ca="1" si="168"/>
        <v/>
      </c>
      <c r="AA339" s="316" t="str">
        <f t="shared" ca="1" si="169"/>
        <v/>
      </c>
      <c r="AC339" s="310" t="e">
        <f t="shared" ca="1" si="170"/>
        <v>#N/A</v>
      </c>
      <c r="AD339" s="323" t="e">
        <f t="shared" ca="1" si="171"/>
        <v>#N/A</v>
      </c>
      <c r="AE339" s="324" t="e">
        <f t="shared" ca="1" si="150"/>
        <v>#N/A</v>
      </c>
      <c r="AG339" s="306">
        <f t="shared" ca="1" si="172"/>
        <v>1.8826214384271873</v>
      </c>
      <c r="AH339" s="304">
        <f t="shared" ca="1" si="173"/>
        <v>-7.8942938971552836</v>
      </c>
    </row>
    <row r="340" spans="1:34" x14ac:dyDescent="0.3">
      <c r="A340" s="347">
        <f t="shared" ca="1" si="151"/>
        <v>0.1</v>
      </c>
      <c r="B340" s="304">
        <f t="shared" ca="1" si="152"/>
        <v>15.599999999999962</v>
      </c>
      <c r="D340" s="306">
        <f t="shared" ca="1" si="153"/>
        <v>-0.64046740181186934</v>
      </c>
      <c r="E340" s="307">
        <f t="shared" ca="1" si="154"/>
        <v>-1.879159273217029</v>
      </c>
      <c r="F340" s="304">
        <f t="shared" ca="1" si="155"/>
        <v>1.9853055348991497</v>
      </c>
      <c r="G340" s="306">
        <f t="shared" ca="1" si="156"/>
        <v>4.0634725259923101</v>
      </c>
      <c r="H340" s="307">
        <f t="shared" ca="1" si="157"/>
        <v>-51.298554508058785</v>
      </c>
      <c r="I340" s="304">
        <f t="shared" ca="1" si="158"/>
        <v>51.45924118742689</v>
      </c>
      <c r="J340" s="306">
        <f t="shared" ca="1" si="159"/>
        <v>148.14215707256645</v>
      </c>
      <c r="K340" s="307">
        <f t="shared" ca="1" si="160"/>
        <v>23.043491907591019</v>
      </c>
      <c r="L340" s="304">
        <f t="shared" ca="1" si="145"/>
        <v>149.92365130761777</v>
      </c>
      <c r="M340" s="306">
        <f t="shared" ca="1" si="161"/>
        <v>-1.4917491574903619</v>
      </c>
      <c r="N340" s="304">
        <f t="shared" ca="1" si="162"/>
        <v>-85.470930816394088</v>
      </c>
      <c r="P340" s="310">
        <f t="shared" ca="1" si="163"/>
        <v>23</v>
      </c>
      <c r="Q340" s="304">
        <f t="shared" ca="1" si="164"/>
        <v>0</v>
      </c>
      <c r="R340" s="306">
        <f t="shared" ca="1" si="165"/>
        <v>0</v>
      </c>
      <c r="S340" s="307">
        <f t="shared" ca="1" si="166"/>
        <v>0.4270000000000001</v>
      </c>
      <c r="T340" s="304">
        <f t="shared" ca="1" si="146"/>
        <v>4.1888700000000014</v>
      </c>
      <c r="U340" s="311">
        <f t="shared" ca="1" si="147"/>
        <v>0</v>
      </c>
      <c r="V340" s="306">
        <f t="shared" ca="1" si="148"/>
        <v>1.2221804208887417</v>
      </c>
      <c r="W340" s="304">
        <f t="shared" ca="1" si="149"/>
        <v>3.4234348660776588</v>
      </c>
      <c r="Y340" s="314" t="str">
        <f t="shared" ca="1" si="167"/>
        <v/>
      </c>
      <c r="Z340" s="315" t="str">
        <f t="shared" ca="1" si="168"/>
        <v/>
      </c>
      <c r="AA340" s="316" t="str">
        <f t="shared" ca="1" si="169"/>
        <v/>
      </c>
      <c r="AC340" s="310" t="e">
        <f t="shared" ca="1" si="170"/>
        <v>#N/A</v>
      </c>
      <c r="AD340" s="323" t="e">
        <f t="shared" ca="1" si="171"/>
        <v>#N/A</v>
      </c>
      <c r="AE340" s="324" t="e">
        <f t="shared" ca="1" si="150"/>
        <v>#N/A</v>
      </c>
      <c r="AG340" s="306">
        <f t="shared" ca="1" si="172"/>
        <v>1.8215073915332116</v>
      </c>
      <c r="AH340" s="304">
        <f t="shared" ca="1" si="173"/>
        <v>-7.9566596713937123</v>
      </c>
    </row>
    <row r="341" spans="1:34" x14ac:dyDescent="0.3">
      <c r="A341" s="347">
        <f t="shared" ca="1" si="151"/>
        <v>0.1</v>
      </c>
      <c r="B341" s="304">
        <f t="shared" ca="1" si="152"/>
        <v>15.699999999999962</v>
      </c>
      <c r="D341" s="306">
        <f t="shared" ca="1" si="153"/>
        <v>-0.63309392226935823</v>
      </c>
      <c r="E341" s="307">
        <f t="shared" ca="1" si="154"/>
        <v>-1.8176233141690856</v>
      </c>
      <c r="F341" s="304">
        <f t="shared" ca="1" si="155"/>
        <v>1.9247239871278714</v>
      </c>
      <c r="G341" s="306">
        <f t="shared" ca="1" si="156"/>
        <v>4.0001631337653745</v>
      </c>
      <c r="H341" s="307">
        <f t="shared" ca="1" si="157"/>
        <v>-51.480316839475691</v>
      </c>
      <c r="I341" s="304">
        <f t="shared" ca="1" si="158"/>
        <v>51.635494836299763</v>
      </c>
      <c r="J341" s="306">
        <f t="shared" ca="1" si="159"/>
        <v>148.54533885555432</v>
      </c>
      <c r="K341" s="307">
        <f t="shared" ca="1" si="160"/>
        <v>17.904548340214294</v>
      </c>
      <c r="L341" s="304">
        <f t="shared" ca="1" si="145"/>
        <v>149.62048839306243</v>
      </c>
      <c r="M341" s="306">
        <f t="shared" ca="1" si="161"/>
        <v>-1.4932493768890431</v>
      </c>
      <c r="N341" s="304">
        <f t="shared" ca="1" si="162"/>
        <v>-85.556887056282179</v>
      </c>
      <c r="P341" s="310">
        <f t="shared" ca="1" si="163"/>
        <v>23</v>
      </c>
      <c r="Q341" s="304">
        <f t="shared" ca="1" si="164"/>
        <v>0</v>
      </c>
      <c r="R341" s="306">
        <f t="shared" ca="1" si="165"/>
        <v>0</v>
      </c>
      <c r="S341" s="307">
        <f t="shared" ca="1" si="166"/>
        <v>0.4270000000000001</v>
      </c>
      <c r="T341" s="304">
        <f t="shared" ca="1" si="146"/>
        <v>4.1888700000000014</v>
      </c>
      <c r="U341" s="311">
        <f t="shared" ca="1" si="147"/>
        <v>0</v>
      </c>
      <c r="V341" s="306">
        <f t="shared" ca="1" si="148"/>
        <v>1.2228086545808232</v>
      </c>
      <c r="W341" s="304">
        <f t="shared" ca="1" si="149"/>
        <v>3.4486981344047356</v>
      </c>
      <c r="Y341" s="314" t="str">
        <f t="shared" ca="1" si="167"/>
        <v/>
      </c>
      <c r="Z341" s="315" t="str">
        <f t="shared" ca="1" si="168"/>
        <v/>
      </c>
      <c r="AA341" s="316" t="str">
        <f t="shared" ca="1" si="169"/>
        <v/>
      </c>
      <c r="AC341" s="310" t="e">
        <f t="shared" ca="1" si="170"/>
        <v>#N/A</v>
      </c>
      <c r="AD341" s="323" t="e">
        <f t="shared" ca="1" si="171"/>
        <v>#N/A</v>
      </c>
      <c r="AE341" s="324" t="e">
        <f t="shared" ca="1" si="150"/>
        <v>#N/A</v>
      </c>
      <c r="AG341" s="306">
        <f t="shared" ca="1" si="172"/>
        <v>1.7619554195770064</v>
      </c>
      <c r="AH341" s="304">
        <f t="shared" ca="1" si="173"/>
        <v>-8.0174118643504872</v>
      </c>
    </row>
    <row r="342" spans="1:34" x14ac:dyDescent="0.3">
      <c r="A342" s="347">
        <f t="shared" ca="1" si="151"/>
        <v>0.1</v>
      </c>
      <c r="B342" s="304">
        <f t="shared" ca="1" si="152"/>
        <v>15.799999999999962</v>
      </c>
      <c r="D342" s="306">
        <f t="shared" ca="1" si="153"/>
        <v>-0.62568633017768827</v>
      </c>
      <c r="E342" s="307">
        <f t="shared" ca="1" si="154"/>
        <v>-1.7576957707581702</v>
      </c>
      <c r="F342" s="304">
        <f t="shared" ca="1" si="155"/>
        <v>1.865737871811681</v>
      </c>
      <c r="G342" s="306">
        <f t="shared" ca="1" si="156"/>
        <v>3.9375945007476059</v>
      </c>
      <c r="H342" s="307">
        <f t="shared" ca="1" si="157"/>
        <v>-51.65608641655151</v>
      </c>
      <c r="I342" s="304">
        <f t="shared" ca="1" si="158"/>
        <v>51.805944777858798</v>
      </c>
      <c r="J342" s="306">
        <f t="shared" ca="1" si="159"/>
        <v>148.94222673727998</v>
      </c>
      <c r="K342" s="307">
        <f t="shared" ca="1" si="160"/>
        <v>12.747728177412935</v>
      </c>
      <c r="L342" s="304">
        <f t="shared" ca="1" si="145"/>
        <v>149.48676021355379</v>
      </c>
      <c r="M342" s="306">
        <f t="shared" ca="1" si="161"/>
        <v>-1.4947163390932101</v>
      </c>
      <c r="N342" s="304">
        <f t="shared" ca="1" si="162"/>
        <v>-85.640937799286164</v>
      </c>
      <c r="P342" s="310">
        <f t="shared" ca="1" si="163"/>
        <v>23</v>
      </c>
      <c r="Q342" s="304">
        <f t="shared" ca="1" si="164"/>
        <v>0</v>
      </c>
      <c r="R342" s="306">
        <f t="shared" ca="1" si="165"/>
        <v>0</v>
      </c>
      <c r="S342" s="307">
        <f t="shared" ca="1" si="166"/>
        <v>0.4270000000000001</v>
      </c>
      <c r="T342" s="304">
        <f t="shared" ca="1" si="146"/>
        <v>4.1888700000000014</v>
      </c>
      <c r="U342" s="311">
        <f t="shared" ca="1" si="147"/>
        <v>0</v>
      </c>
      <c r="V342" s="306">
        <f t="shared" ca="1" si="148"/>
        <v>1.2234393980047684</v>
      </c>
      <c r="W342" s="304">
        <f t="shared" ca="1" si="149"/>
        <v>3.4732948307934617</v>
      </c>
      <c r="Y342" s="314" t="str">
        <f t="shared" ca="1" si="167"/>
        <v/>
      </c>
      <c r="Z342" s="315" t="str">
        <f t="shared" ca="1" si="168"/>
        <v/>
      </c>
      <c r="AA342" s="316" t="str">
        <f t="shared" ca="1" si="169"/>
        <v/>
      </c>
      <c r="AC342" s="310" t="e">
        <f t="shared" ca="1" si="170"/>
        <v>#N/A</v>
      </c>
      <c r="AD342" s="323" t="e">
        <f t="shared" ca="1" si="171"/>
        <v>#N/A</v>
      </c>
      <c r="AE342" s="324" t="e">
        <f t="shared" ca="1" si="150"/>
        <v>#N/A</v>
      </c>
      <c r="AG342" s="306">
        <f t="shared" ca="1" si="172"/>
        <v>1.7039419893949894</v>
      </c>
      <c r="AH342" s="304">
        <f t="shared" ca="1" si="173"/>
        <v>-8.0765764271773648</v>
      </c>
    </row>
    <row r="343" spans="1:34" x14ac:dyDescent="0.3">
      <c r="A343" s="347">
        <f t="shared" ca="1" si="151"/>
        <v>0.1</v>
      </c>
      <c r="B343" s="304">
        <f t="shared" ca="1" si="152"/>
        <v>15.899999999999961</v>
      </c>
      <c r="D343" s="306">
        <f t="shared" ca="1" si="153"/>
        <v>-0.61825148260689478</v>
      </c>
      <c r="E343" s="307">
        <f t="shared" ca="1" si="154"/>
        <v>-1.6993497015400489</v>
      </c>
      <c r="F343" s="304">
        <f t="shared" ca="1" si="155"/>
        <v>1.8083208520254022</v>
      </c>
      <c r="G343" s="306">
        <f t="shared" ca="1" si="156"/>
        <v>3.8757693524869166</v>
      </c>
      <c r="H343" s="307">
        <f t="shared" ca="1" si="157"/>
        <v>-51.826021386705513</v>
      </c>
      <c r="I343" s="304">
        <f t="shared" ca="1" si="158"/>
        <v>51.97074254663805</v>
      </c>
      <c r="J343" s="306">
        <f t="shared" ca="1" si="159"/>
        <v>149.33289492994172</v>
      </c>
      <c r="K343" s="307">
        <f t="shared" ca="1" si="160"/>
        <v>7.5736227872500832</v>
      </c>
      <c r="L343" s="304">
        <f t="shared" ca="1" si="145"/>
        <v>149.52482492977734</v>
      </c>
      <c r="M343" s="306">
        <f t="shared" ca="1" si="161"/>
        <v>-1.4961510408362599</v>
      </c>
      <c r="N343" s="304">
        <f t="shared" ca="1" si="162"/>
        <v>-85.723140154022971</v>
      </c>
      <c r="P343" s="310">
        <f t="shared" ca="1" si="163"/>
        <v>23</v>
      </c>
      <c r="Q343" s="304">
        <f t="shared" ca="1" si="164"/>
        <v>0</v>
      </c>
      <c r="R343" s="306">
        <f t="shared" ca="1" si="165"/>
        <v>0</v>
      </c>
      <c r="S343" s="307">
        <f t="shared" ca="1" si="166"/>
        <v>0.4270000000000001</v>
      </c>
      <c r="T343" s="304">
        <f t="shared" ca="1" si="146"/>
        <v>4.1888700000000014</v>
      </c>
      <c r="U343" s="311">
        <f t="shared" ca="1" si="147"/>
        <v>0</v>
      </c>
      <c r="V343" s="306">
        <f t="shared" ca="1" si="148"/>
        <v>1.2240725824041137</v>
      </c>
      <c r="W343" s="304">
        <f t="shared" ca="1" si="149"/>
        <v>3.4972365288200713</v>
      </c>
      <c r="Y343" s="314" t="str">
        <f t="shared" ca="1" si="167"/>
        <v/>
      </c>
      <c r="Z343" s="315" t="str">
        <f t="shared" ca="1" si="168"/>
        <v/>
      </c>
      <c r="AA343" s="316" t="str">
        <f t="shared" ca="1" si="169"/>
        <v/>
      </c>
      <c r="AC343" s="310" t="e">
        <f t="shared" ca="1" si="170"/>
        <v>#N/A</v>
      </c>
      <c r="AD343" s="323" t="e">
        <f t="shared" ca="1" si="171"/>
        <v>#N/A</v>
      </c>
      <c r="AE343" s="324" t="e">
        <f t="shared" ca="1" si="150"/>
        <v>#N/A</v>
      </c>
      <c r="AG343" s="306">
        <f t="shared" ca="1" si="172"/>
        <v>1.6474428130336545</v>
      </c>
      <c r="AH343" s="304">
        <f t="shared" ca="1" si="173"/>
        <v>-8.1341799316006114</v>
      </c>
    </row>
    <row r="344" spans="1:34" x14ac:dyDescent="0.3">
      <c r="A344" s="347">
        <f t="shared" ca="1" si="151"/>
        <v>0.1</v>
      </c>
      <c r="B344" s="304">
        <f t="shared" ca="1" si="152"/>
        <v>15.999999999999961</v>
      </c>
      <c r="D344" s="306">
        <f t="shared" ca="1" si="153"/>
        <v>-0.61079592817297512</v>
      </c>
      <c r="E344" s="307">
        <f t="shared" ca="1" si="154"/>
        <v>-1.642557627276366</v>
      </c>
      <c r="F344" s="304">
        <f t="shared" ca="1" si="155"/>
        <v>1.7524460690122396</v>
      </c>
      <c r="G344" s="306">
        <f t="shared" ca="1" si="156"/>
        <v>3.8146897596696192</v>
      </c>
      <c r="H344" s="307">
        <f t="shared" ca="1" si="157"/>
        <v>-51.990277149433147</v>
      </c>
      <c r="I344" s="304">
        <f t="shared" ca="1" si="158"/>
        <v>52.130037176635497</v>
      </c>
      <c r="J344" s="306">
        <f t="shared" ca="1" si="159"/>
        <v>149.71741788554954</v>
      </c>
      <c r="K344" s="307">
        <f t="shared" ca="1" si="160"/>
        <v>2.3828078604431502</v>
      </c>
      <c r="L344" s="304">
        <f t="shared" ca="1" si="145"/>
        <v>149.7363783174151</v>
      </c>
      <c r="M344" s="306">
        <f t="shared" ca="1" si="161"/>
        <v>-1.4975544364588118</v>
      </c>
      <c r="N344" s="304">
        <f t="shared" ca="1" si="162"/>
        <v>-85.803548800182327</v>
      </c>
      <c r="P344" s="310">
        <f t="shared" ca="1" si="163"/>
        <v>23</v>
      </c>
      <c r="Q344" s="304">
        <f t="shared" ca="1" si="164"/>
        <v>0</v>
      </c>
      <c r="R344" s="306">
        <f t="shared" ca="1" si="165"/>
        <v>0</v>
      </c>
      <c r="S344" s="307">
        <f t="shared" ca="1" si="166"/>
        <v>0.4270000000000001</v>
      </c>
      <c r="T344" s="304">
        <f t="shared" ca="1" si="146"/>
        <v>4.1888700000000014</v>
      </c>
      <c r="U344" s="311">
        <f t="shared" ca="1" si="147"/>
        <v>0</v>
      </c>
      <c r="V344" s="306">
        <f t="shared" ca="1" si="148"/>
        <v>1.2247081408093148</v>
      </c>
      <c r="W344" s="304">
        <f t="shared" ca="1" si="149"/>
        <v>3.5205349940784001</v>
      </c>
      <c r="Y344" s="314" t="str">
        <f t="shared" ca="1" si="167"/>
        <v/>
      </c>
      <c r="Z344" s="315" t="str">
        <f t="shared" ca="1" si="168"/>
        <v/>
      </c>
      <c r="AA344" s="316" t="str">
        <f t="shared" ca="1" si="169"/>
        <v/>
      </c>
      <c r="AC344" s="310">
        <f t="shared" ca="1" si="170"/>
        <v>15.999999999999961</v>
      </c>
      <c r="AD344" s="323">
        <f t="shared" ca="1" si="171"/>
        <v>149.71741788554954</v>
      </c>
      <c r="AE344" s="324" t="e">
        <f t="shared" ca="1" si="150"/>
        <v>#N/A</v>
      </c>
      <c r="AG344" s="306">
        <f t="shared" ca="1" si="172"/>
        <v>1.5924329444940444</v>
      </c>
      <c r="AH344" s="304">
        <f t="shared" ca="1" si="173"/>
        <v>-8.1902494820142167</v>
      </c>
    </row>
    <row r="345" spans="1:34" x14ac:dyDescent="0.3">
      <c r="A345" s="347">
        <f t="shared" ca="1" si="151"/>
        <v>0.1</v>
      </c>
      <c r="B345" s="304">
        <f t="shared" ca="1" si="152"/>
        <v>16.099999999999962</v>
      </c>
      <c r="D345" s="306">
        <f t="shared" ca="1" si="153"/>
        <v>-0.60332591386865286</v>
      </c>
      <c r="E345" s="307">
        <f t="shared" ca="1" si="154"/>
        <v>-1.5872916148801153</v>
      </c>
      <c r="F345" s="304">
        <f t="shared" ca="1" si="155"/>
        <v>1.6980862254356135</v>
      </c>
      <c r="G345" s="306">
        <f t="shared" ca="1" si="156"/>
        <v>3.7543571682827541</v>
      </c>
      <c r="H345" s="307">
        <f t="shared" ca="1" si="157"/>
        <v>-52.149006310921159</v>
      </c>
      <c r="I345" s="304">
        <f t="shared" ca="1" si="158"/>
        <v>52.283975145005293</v>
      </c>
      <c r="J345" s="306">
        <f t="shared" ca="1" si="159"/>
        <v>150.09587023194715</v>
      </c>
      <c r="K345" s="307">
        <f t="shared" ca="1" si="160"/>
        <v>-2.8241563125745657</v>
      </c>
      <c r="L345" s="304">
        <f t="shared" ca="1" si="145"/>
        <v>150.12243709573653</v>
      </c>
      <c r="M345" s="306">
        <f t="shared" ca="1" si="161"/>
        <v>-1.4989274402397028</v>
      </c>
      <c r="N345" s="304">
        <f t="shared" ca="1" si="162"/>
        <v>-85.882216122082895</v>
      </c>
      <c r="P345" s="310">
        <f t="shared" ca="1" si="163"/>
        <v>23</v>
      </c>
      <c r="Q345" s="304">
        <f t="shared" ca="1" si="164"/>
        <v>0</v>
      </c>
      <c r="R345" s="306">
        <f t="shared" ca="1" si="165"/>
        <v>0</v>
      </c>
      <c r="S345" s="307">
        <f t="shared" ca="1" si="166"/>
        <v>0.4270000000000001</v>
      </c>
      <c r="T345" s="304">
        <f t="shared" ca="1" si="146"/>
        <v>4.1888700000000014</v>
      </c>
      <c r="U345" s="311">
        <f t="shared" ca="1" si="147"/>
        <v>0</v>
      </c>
      <c r="V345" s="306">
        <f t="shared" ca="1" si="148"/>
        <v>1.2253460080073253</v>
      </c>
      <c r="W345" s="304">
        <f t="shared" ca="1" si="149"/>
        <v>3.5432021508012133</v>
      </c>
      <c r="Y345" s="314" t="str">
        <f t="shared" ca="1" si="167"/>
        <v>Impact balistique</v>
      </c>
      <c r="Z345" s="315" t="str">
        <f t="shared" ca="1" si="168"/>
        <v/>
      </c>
      <c r="AA345" s="316" t="str">
        <f t="shared" ca="1" si="169"/>
        <v/>
      </c>
      <c r="AC345" s="310" t="e">
        <f t="shared" ca="1" si="170"/>
        <v>#N/A</v>
      </c>
      <c r="AD345" s="323" t="e">
        <f t="shared" ca="1" si="171"/>
        <v>#N/A</v>
      </c>
      <c r="AE345" s="324" t="e">
        <f t="shared" ca="1" si="150"/>
        <v>#N/A</v>
      </c>
      <c r="AG345" s="306">
        <f t="shared" ca="1" si="172"/>
        <v>1.5388868708723251</v>
      </c>
      <c r="AH345" s="304">
        <f t="shared" ca="1" si="173"/>
        <v>-8.2448126325021054</v>
      </c>
    </row>
    <row r="346" spans="1:34" x14ac:dyDescent="0.3">
      <c r="A346" s="347">
        <f t="shared" ca="1" si="151"/>
        <v>1E-4</v>
      </c>
      <c r="B346" s="304">
        <f t="shared" ca="1" si="152"/>
        <v>16.100099999999962</v>
      </c>
      <c r="D346" s="306">
        <f t="shared" ca="1" si="153"/>
        <v>-0.59584739217074845</v>
      </c>
      <c r="E346" s="307">
        <f t="shared" ca="1" si="154"/>
        <v>-1.5335233564975219</v>
      </c>
      <c r="F346" s="304">
        <f t="shared" ca="1" si="155"/>
        <v>1.6452136638382588</v>
      </c>
      <c r="G346" s="306">
        <f t="shared" ca="1" si="156"/>
        <v>3.7542975835435373</v>
      </c>
      <c r="H346" s="307">
        <f t="shared" ca="1" si="157"/>
        <v>-52.14915966325681</v>
      </c>
      <c r="I346" s="304">
        <f t="shared" ca="1" si="158"/>
        <v>52.284123822912555</v>
      </c>
      <c r="J346" s="306">
        <f t="shared" ca="1" si="159"/>
        <v>150.09587023194715</v>
      </c>
      <c r="K346" s="307">
        <f t="shared" ca="1" si="160"/>
        <v>-2.8293712208732744</v>
      </c>
      <c r="L346" s="304">
        <f t="shared" ca="1" si="145"/>
        <v>150.12253529097828</v>
      </c>
      <c r="M346" s="306">
        <f t="shared" ca="1" si="161"/>
        <v>-1.4989287875454422</v>
      </c>
      <c r="N346" s="304">
        <f t="shared" ca="1" si="162"/>
        <v>-85.882293317015481</v>
      </c>
      <c r="P346" s="310">
        <f t="shared" ca="1" si="163"/>
        <v>23</v>
      </c>
      <c r="Q346" s="304">
        <f t="shared" ca="1" si="164"/>
        <v>0</v>
      </c>
      <c r="R346" s="306">
        <f t="shared" ca="1" si="165"/>
        <v>0</v>
      </c>
      <c r="S346" s="307">
        <f t="shared" ca="1" si="166"/>
        <v>0.4270000000000001</v>
      </c>
      <c r="T346" s="304">
        <f t="shared" ca="1" si="146"/>
        <v>4.1888700000000014</v>
      </c>
      <c r="U346" s="311">
        <f t="shared" ca="1" si="147"/>
        <v>0</v>
      </c>
      <c r="V346" s="306">
        <f t="shared" ca="1" si="148"/>
        <v>1.2253466470142114</v>
      </c>
      <c r="W346" s="304">
        <f t="shared" ca="1" si="149"/>
        <v>3.5432241499207078</v>
      </c>
      <c r="Y346" s="314" t="str">
        <f t="shared" ca="1" si="167"/>
        <v/>
      </c>
      <c r="Z346" s="315" t="str">
        <f t="shared" ca="1" si="168"/>
        <v/>
      </c>
      <c r="AA346" s="316" t="str">
        <f t="shared" ca="1" si="169"/>
        <v/>
      </c>
      <c r="AC346" s="310" t="e">
        <f t="shared" ca="1" si="170"/>
        <v>#N/A</v>
      </c>
      <c r="AD346" s="323" t="e">
        <f t="shared" ca="1" si="171"/>
        <v>#N/A</v>
      </c>
      <c r="AE346" s="324" t="e">
        <f t="shared" ca="1" si="150"/>
        <v>#N/A</v>
      </c>
      <c r="AG346" s="306">
        <f t="shared" ca="1" si="172"/>
        <v>1.4867785980760804</v>
      </c>
      <c r="AH346" s="304">
        <f t="shared" ca="1" si="173"/>
        <v>-8.2978973086679453</v>
      </c>
    </row>
    <row r="347" spans="1:34" x14ac:dyDescent="0.3">
      <c r="A347" s="347">
        <f t="shared" ca="1" si="151"/>
        <v>1E-4</v>
      </c>
      <c r="B347" s="304">
        <f t="shared" ca="1" si="152"/>
        <v>16.100199999999962</v>
      </c>
      <c r="D347" s="306">
        <f t="shared" ca="1" si="153"/>
        <v>-0.59583994066823687</v>
      </c>
      <c r="E347" s="307">
        <f t="shared" ca="1" si="154"/>
        <v>-1.5334711665224159</v>
      </c>
      <c r="F347" s="304">
        <f t="shared" ca="1" si="155"/>
        <v>1.6451623182686708</v>
      </c>
      <c r="G347" s="306">
        <f t="shared" ca="1" si="156"/>
        <v>3.7542379995494706</v>
      </c>
      <c r="H347" s="307">
        <f t="shared" ca="1" si="157"/>
        <v>-52.149313010373461</v>
      </c>
      <c r="I347" s="304">
        <f t="shared" ca="1" si="158"/>
        <v>52.2842724957627</v>
      </c>
      <c r="J347" s="306">
        <f t="shared" ca="1" si="159"/>
        <v>150.09587023194715</v>
      </c>
      <c r="K347" s="307">
        <f t="shared" ca="1" si="160"/>
        <v>-2.834586144506956</v>
      </c>
      <c r="L347" s="304">
        <f t="shared" ca="1" si="145"/>
        <v>150.12263366759905</v>
      </c>
      <c r="M347" s="306">
        <f t="shared" ca="1" si="161"/>
        <v>-1.4989301348221369</v>
      </c>
      <c r="N347" s="304">
        <f t="shared" ca="1" si="162"/>
        <v>-85.88237051028392</v>
      </c>
      <c r="P347" s="310">
        <f t="shared" ca="1" si="163"/>
        <v>23</v>
      </c>
      <c r="Q347" s="304">
        <f t="shared" ca="1" si="164"/>
        <v>0</v>
      </c>
      <c r="R347" s="306">
        <f t="shared" ca="1" si="165"/>
        <v>0</v>
      </c>
      <c r="S347" s="307">
        <f t="shared" ca="1" si="166"/>
        <v>0.4270000000000001</v>
      </c>
      <c r="T347" s="304">
        <f t="shared" ca="1" si="146"/>
        <v>4.1888700000000014</v>
      </c>
      <c r="U347" s="311">
        <f t="shared" ca="1" si="147"/>
        <v>0</v>
      </c>
      <c r="V347" s="306">
        <f t="shared" ca="1" si="148"/>
        <v>1.2253472860233099</v>
      </c>
      <c r="W347" s="304">
        <f t="shared" ca="1" si="149"/>
        <v>3.5432461484394908</v>
      </c>
      <c r="Y347" s="314" t="str">
        <f t="shared" ca="1" si="167"/>
        <v/>
      </c>
      <c r="Z347" s="315" t="str">
        <f t="shared" ca="1" si="168"/>
        <v/>
      </c>
      <c r="AA347" s="316" t="str">
        <f t="shared" ca="1" si="169"/>
        <v/>
      </c>
      <c r="AC347" s="310" t="e">
        <f t="shared" ca="1" si="170"/>
        <v>#N/A</v>
      </c>
      <c r="AD347" s="323" t="e">
        <f t="shared" ca="1" si="171"/>
        <v>#N/A</v>
      </c>
      <c r="AE347" s="324" t="e">
        <f t="shared" ca="1" si="150"/>
        <v>#N/A</v>
      </c>
      <c r="AG347" s="306">
        <f t="shared" ca="1" si="172"/>
        <v>1.48672802695957</v>
      </c>
      <c r="AH347" s="304">
        <f t="shared" ca="1" si="173"/>
        <v>-8.2979488288541141</v>
      </c>
    </row>
    <row r="348" spans="1:34" x14ac:dyDescent="0.3">
      <c r="A348" s="347">
        <f t="shared" ca="1" si="151"/>
        <v>1E-4</v>
      </c>
      <c r="B348" s="304">
        <f t="shared" ca="1" si="152"/>
        <v>16.100299999999962</v>
      </c>
      <c r="D348" s="306">
        <f t="shared" ca="1" si="153"/>
        <v>-0.59583248916555109</v>
      </c>
      <c r="E348" s="307">
        <f t="shared" ca="1" si="154"/>
        <v>-1.5334189779728558</v>
      </c>
      <c r="F348" s="304">
        <f t="shared" ca="1" si="155"/>
        <v>1.6451109741146746</v>
      </c>
      <c r="G348" s="306">
        <f t="shared" ca="1" si="156"/>
        <v>3.754178416300554</v>
      </c>
      <c r="H348" s="307">
        <f t="shared" ca="1" si="157"/>
        <v>-52.149466352271261</v>
      </c>
      <c r="I348" s="304">
        <f t="shared" ca="1" si="158"/>
        <v>52.284421163555876</v>
      </c>
      <c r="J348" s="306">
        <f t="shared" ca="1" si="159"/>
        <v>150.09587023194715</v>
      </c>
      <c r="K348" s="307">
        <f t="shared" ca="1" si="160"/>
        <v>-2.8398010834750882</v>
      </c>
      <c r="L348" s="304">
        <f t="shared" ca="1" si="145"/>
        <v>150.12273222560006</v>
      </c>
      <c r="M348" s="306">
        <f t="shared" ca="1" si="161"/>
        <v>-1.498931482069787</v>
      </c>
      <c r="N348" s="304">
        <f t="shared" ca="1" si="162"/>
        <v>-85.882447701888225</v>
      </c>
      <c r="P348" s="310">
        <f t="shared" ca="1" si="163"/>
        <v>23</v>
      </c>
      <c r="Q348" s="304">
        <f t="shared" ca="1" si="164"/>
        <v>0</v>
      </c>
      <c r="R348" s="306">
        <f t="shared" ca="1" si="165"/>
        <v>0</v>
      </c>
      <c r="S348" s="307">
        <f t="shared" ca="1" si="166"/>
        <v>0.4270000000000001</v>
      </c>
      <c r="T348" s="304">
        <f t="shared" ca="1" si="146"/>
        <v>4.1888700000000014</v>
      </c>
      <c r="U348" s="311">
        <f t="shared" ca="1" si="147"/>
        <v>0</v>
      </c>
      <c r="V348" s="306">
        <f t="shared" ca="1" si="148"/>
        <v>1.2253479250346202</v>
      </c>
      <c r="W348" s="304">
        <f t="shared" ca="1" si="149"/>
        <v>3.5432681463575753</v>
      </c>
      <c r="Y348" s="314" t="str">
        <f t="shared" ca="1" si="167"/>
        <v/>
      </c>
      <c r="Z348" s="315" t="str">
        <f t="shared" ca="1" si="168"/>
        <v/>
      </c>
      <c r="AA348" s="316" t="str">
        <f t="shared" ca="1" si="169"/>
        <v/>
      </c>
      <c r="AC348" s="310" t="e">
        <f t="shared" ca="1" si="170"/>
        <v>#N/A</v>
      </c>
      <c r="AD348" s="323" t="e">
        <f t="shared" ca="1" si="171"/>
        <v>#N/A</v>
      </c>
      <c r="AE348" s="324" t="e">
        <f t="shared" ca="1" si="150"/>
        <v>#N/A</v>
      </c>
      <c r="AG348" s="306">
        <f t="shared" ca="1" si="172"/>
        <v>1.4866774572116608</v>
      </c>
      <c r="AH348" s="304">
        <f t="shared" ca="1" si="173"/>
        <v>-8.2980003476334652</v>
      </c>
    </row>
    <row r="349" spans="1:34" x14ac:dyDescent="0.3">
      <c r="A349" s="347">
        <f t="shared" ca="1" si="151"/>
        <v>1E-4</v>
      </c>
      <c r="B349" s="304">
        <f t="shared" ca="1" si="152"/>
        <v>16.100399999999961</v>
      </c>
      <c r="D349" s="306">
        <f t="shared" ca="1" si="153"/>
        <v>-0.59582503766270134</v>
      </c>
      <c r="E349" s="307">
        <f t="shared" ca="1" si="154"/>
        <v>-1.5333667908488149</v>
      </c>
      <c r="F349" s="304">
        <f t="shared" ca="1" si="155"/>
        <v>1.6450596313762467</v>
      </c>
      <c r="G349" s="306">
        <f t="shared" ca="1" si="156"/>
        <v>3.7541188337967877</v>
      </c>
      <c r="H349" s="307">
        <f t="shared" ca="1" si="157"/>
        <v>-52.149619688950345</v>
      </c>
      <c r="I349" s="304">
        <f t="shared" ca="1" si="158"/>
        <v>52.284569826292206</v>
      </c>
      <c r="J349" s="306">
        <f t="shared" ca="1" si="159"/>
        <v>150.09587023194715</v>
      </c>
      <c r="K349" s="307">
        <f t="shared" ca="1" si="160"/>
        <v>-2.8450160377771492</v>
      </c>
      <c r="L349" s="304">
        <f t="shared" ca="1" si="145"/>
        <v>150.12283096498254</v>
      </c>
      <c r="M349" s="306">
        <f t="shared" ca="1" si="161"/>
        <v>-1.4989328292883939</v>
      </c>
      <c r="N349" s="304">
        <f t="shared" ca="1" si="162"/>
        <v>-85.882524891828481</v>
      </c>
      <c r="P349" s="310">
        <f t="shared" ca="1" si="163"/>
        <v>23</v>
      </c>
      <c r="Q349" s="304">
        <f t="shared" ca="1" si="164"/>
        <v>0</v>
      </c>
      <c r="R349" s="306">
        <f t="shared" ca="1" si="165"/>
        <v>0</v>
      </c>
      <c r="S349" s="307">
        <f t="shared" ca="1" si="166"/>
        <v>0.4270000000000001</v>
      </c>
      <c r="T349" s="304">
        <f t="shared" ca="1" si="146"/>
        <v>4.1888700000000014</v>
      </c>
      <c r="U349" s="311">
        <f t="shared" ca="1" si="147"/>
        <v>0</v>
      </c>
      <c r="V349" s="306">
        <f t="shared" ca="1" si="148"/>
        <v>1.225348564048143</v>
      </c>
      <c r="W349" s="304">
        <f t="shared" ca="1" si="149"/>
        <v>3.54329014367497</v>
      </c>
      <c r="Y349" s="314" t="str">
        <f t="shared" ca="1" si="167"/>
        <v/>
      </c>
      <c r="Z349" s="315" t="str">
        <f t="shared" ca="1" si="168"/>
        <v/>
      </c>
      <c r="AA349" s="316" t="str">
        <f t="shared" ca="1" si="169"/>
        <v/>
      </c>
      <c r="AC349" s="310" t="e">
        <f t="shared" ca="1" si="170"/>
        <v>#N/A</v>
      </c>
      <c r="AD349" s="323" t="e">
        <f t="shared" ca="1" si="171"/>
        <v>#N/A</v>
      </c>
      <c r="AE349" s="324" t="e">
        <f t="shared" ca="1" si="150"/>
        <v>#N/A</v>
      </c>
      <c r="AG349" s="306">
        <f t="shared" ca="1" si="172"/>
        <v>1.4866268888323155</v>
      </c>
      <c r="AH349" s="304">
        <f t="shared" ca="1" si="173"/>
        <v>-8.2980518650060286</v>
      </c>
    </row>
    <row r="350" spans="1:34" x14ac:dyDescent="0.3">
      <c r="A350" s="347">
        <f t="shared" ca="1" si="151"/>
        <v>1E-4</v>
      </c>
      <c r="B350" s="304">
        <f t="shared" ca="1" si="152"/>
        <v>16.100499999999961</v>
      </c>
      <c r="D350" s="306">
        <f t="shared" ca="1" si="153"/>
        <v>-0.59581758615968838</v>
      </c>
      <c r="E350" s="307">
        <f t="shared" ca="1" si="154"/>
        <v>-1.5333146051502684</v>
      </c>
      <c r="F350" s="304">
        <f t="shared" ca="1" si="155"/>
        <v>1.6450082900533605</v>
      </c>
      <c r="G350" s="306">
        <f t="shared" ca="1" si="156"/>
        <v>3.7540592520381719</v>
      </c>
      <c r="H350" s="307">
        <f t="shared" ca="1" si="157"/>
        <v>-52.149773020410862</v>
      </c>
      <c r="I350" s="304">
        <f t="shared" ca="1" si="158"/>
        <v>52.28471848397183</v>
      </c>
      <c r="J350" s="306">
        <f t="shared" ca="1" si="159"/>
        <v>150.09587023194715</v>
      </c>
      <c r="K350" s="307">
        <f t="shared" ca="1" si="160"/>
        <v>-2.8502310074126171</v>
      </c>
      <c r="L350" s="304">
        <f t="shared" ca="1" si="145"/>
        <v>150.12292988574774</v>
      </c>
      <c r="M350" s="306">
        <f t="shared" ca="1" si="161"/>
        <v>-1.498934176477958</v>
      </c>
      <c r="N350" s="304">
        <f t="shared" ca="1" si="162"/>
        <v>-85.882602080104704</v>
      </c>
      <c r="P350" s="310">
        <f t="shared" ca="1" si="163"/>
        <v>23</v>
      </c>
      <c r="Q350" s="304">
        <f t="shared" ca="1" si="164"/>
        <v>0</v>
      </c>
      <c r="R350" s="306">
        <f t="shared" ca="1" si="165"/>
        <v>0</v>
      </c>
      <c r="S350" s="307">
        <f t="shared" ca="1" si="166"/>
        <v>0.4270000000000001</v>
      </c>
      <c r="T350" s="304">
        <f t="shared" ca="1" si="146"/>
        <v>4.1888700000000014</v>
      </c>
      <c r="U350" s="311">
        <f t="shared" ca="1" si="147"/>
        <v>0</v>
      </c>
      <c r="V350" s="306">
        <f t="shared" ca="1" si="148"/>
        <v>1.225349203063878</v>
      </c>
      <c r="W350" s="304">
        <f t="shared" ca="1" si="149"/>
        <v>3.5433121403916878</v>
      </c>
      <c r="Y350" s="314" t="str">
        <f t="shared" ca="1" si="167"/>
        <v/>
      </c>
      <c r="Z350" s="315" t="str">
        <f t="shared" ca="1" si="168"/>
        <v/>
      </c>
      <c r="AA350" s="316" t="str">
        <f t="shared" ca="1" si="169"/>
        <v/>
      </c>
      <c r="AC350" s="310" t="e">
        <f t="shared" ca="1" si="170"/>
        <v>#N/A</v>
      </c>
      <c r="AD350" s="323" t="e">
        <f t="shared" ca="1" si="171"/>
        <v>#N/A</v>
      </c>
      <c r="AE350" s="324" t="e">
        <f t="shared" ca="1" si="150"/>
        <v>#N/A</v>
      </c>
      <c r="AG350" s="306">
        <f t="shared" ca="1" si="172"/>
        <v>1.4865763218215253</v>
      </c>
      <c r="AH350" s="304">
        <f t="shared" ca="1" si="173"/>
        <v>-8.2981033809718241</v>
      </c>
    </row>
    <row r="351" spans="1:34" x14ac:dyDescent="0.3">
      <c r="A351" s="347">
        <f t="shared" ca="1" si="151"/>
        <v>1E-4</v>
      </c>
      <c r="B351" s="304">
        <f t="shared" ca="1" si="152"/>
        <v>16.100599999999961</v>
      </c>
      <c r="D351" s="306">
        <f t="shared" ca="1" si="153"/>
        <v>-0.59581013465652111</v>
      </c>
      <c r="E351" s="307">
        <f t="shared" ca="1" si="154"/>
        <v>-1.5332624208771879</v>
      </c>
      <c r="F351" s="304">
        <f t="shared" ca="1" si="155"/>
        <v>1.6449569501459897</v>
      </c>
      <c r="G351" s="306">
        <f t="shared" ca="1" si="156"/>
        <v>3.7539996710247063</v>
      </c>
      <c r="H351" s="307">
        <f t="shared" ca="1" si="157"/>
        <v>-52.149926346652947</v>
      </c>
      <c r="I351" s="304">
        <f t="shared" ca="1" si="158"/>
        <v>52.284867136594897</v>
      </c>
      <c r="J351" s="306">
        <f t="shared" ca="1" si="159"/>
        <v>150.09587023194715</v>
      </c>
      <c r="K351" s="307">
        <f t="shared" ca="1" si="160"/>
        <v>-2.8554459923809703</v>
      </c>
      <c r="L351" s="304">
        <f t="shared" ca="1" si="145"/>
        <v>150.12302898789687</v>
      </c>
      <c r="M351" s="306">
        <f t="shared" ca="1" si="161"/>
        <v>-1.4989355236384805</v>
      </c>
      <c r="N351" s="304">
        <f t="shared" ca="1" si="162"/>
        <v>-85.882679266716977</v>
      </c>
      <c r="P351" s="310">
        <f t="shared" ca="1" si="163"/>
        <v>23</v>
      </c>
      <c r="Q351" s="304">
        <f t="shared" ca="1" si="164"/>
        <v>0</v>
      </c>
      <c r="R351" s="306">
        <f t="shared" ca="1" si="165"/>
        <v>0</v>
      </c>
      <c r="S351" s="307">
        <f t="shared" ca="1" si="166"/>
        <v>0.4270000000000001</v>
      </c>
      <c r="T351" s="304">
        <f t="shared" ca="1" si="146"/>
        <v>4.1888700000000014</v>
      </c>
      <c r="U351" s="311">
        <f t="shared" ca="1" si="147"/>
        <v>0</v>
      </c>
      <c r="V351" s="306">
        <f t="shared" ca="1" si="148"/>
        <v>1.2253498420818252</v>
      </c>
      <c r="W351" s="304">
        <f t="shared" ca="1" si="149"/>
        <v>3.5433341365077431</v>
      </c>
      <c r="Y351" s="314" t="str">
        <f t="shared" ca="1" si="167"/>
        <v/>
      </c>
      <c r="Z351" s="315" t="str">
        <f t="shared" ca="1" si="168"/>
        <v/>
      </c>
      <c r="AA351" s="316" t="str">
        <f t="shared" ca="1" si="169"/>
        <v/>
      </c>
      <c r="AC351" s="310" t="e">
        <f t="shared" ca="1" si="170"/>
        <v>#N/A</v>
      </c>
      <c r="AD351" s="323" t="e">
        <f t="shared" ca="1" si="171"/>
        <v>#N/A</v>
      </c>
      <c r="AE351" s="324" t="e">
        <f t="shared" ca="1" si="150"/>
        <v>#N/A</v>
      </c>
      <c r="AG351" s="306">
        <f t="shared" ca="1" si="172"/>
        <v>1.4865257561792546</v>
      </c>
      <c r="AH351" s="304">
        <f t="shared" ca="1" si="173"/>
        <v>-8.2981548955308835</v>
      </c>
    </row>
    <row r="352" spans="1:34" x14ac:dyDescent="0.3">
      <c r="A352" s="347">
        <f t="shared" ca="1" si="151"/>
        <v>1E-4</v>
      </c>
      <c r="B352" s="304">
        <f t="shared" ca="1" si="152"/>
        <v>16.100699999999961</v>
      </c>
      <c r="D352" s="306">
        <f t="shared" ca="1" si="153"/>
        <v>-0.59580268315320239</v>
      </c>
      <c r="E352" s="307">
        <f t="shared" ca="1" si="154"/>
        <v>-1.5332102380295431</v>
      </c>
      <c r="F352" s="304">
        <f t="shared" ca="1" si="155"/>
        <v>1.6449056116541043</v>
      </c>
      <c r="G352" s="306">
        <f t="shared" ca="1" si="156"/>
        <v>3.7539400907563909</v>
      </c>
      <c r="H352" s="307">
        <f t="shared" ca="1" si="157"/>
        <v>-52.150079667676749</v>
      </c>
      <c r="I352" s="304">
        <f t="shared" ca="1" si="158"/>
        <v>52.28501578416153</v>
      </c>
      <c r="J352" s="306">
        <f t="shared" ca="1" si="159"/>
        <v>150.09587023194715</v>
      </c>
      <c r="K352" s="307">
        <f t="shared" ca="1" si="160"/>
        <v>-2.8606609926816868</v>
      </c>
      <c r="L352" s="304">
        <f t="shared" ca="1" si="145"/>
        <v>150.12312827143114</v>
      </c>
      <c r="M352" s="306">
        <f t="shared" ca="1" si="161"/>
        <v>-1.4989368707699617</v>
      </c>
      <c r="N352" s="304">
        <f t="shared" ca="1" si="162"/>
        <v>-85.882756451665301</v>
      </c>
      <c r="P352" s="310">
        <f t="shared" ca="1" si="163"/>
        <v>23</v>
      </c>
      <c r="Q352" s="304">
        <f t="shared" ca="1" si="164"/>
        <v>0</v>
      </c>
      <c r="R352" s="306">
        <f t="shared" ca="1" si="165"/>
        <v>0</v>
      </c>
      <c r="S352" s="307">
        <f t="shared" ca="1" si="166"/>
        <v>0.4270000000000001</v>
      </c>
      <c r="T352" s="304">
        <f t="shared" ca="1" si="146"/>
        <v>4.1888700000000014</v>
      </c>
      <c r="U352" s="311">
        <f t="shared" ca="1" si="147"/>
        <v>0</v>
      </c>
      <c r="V352" s="306">
        <f t="shared" ca="1" si="148"/>
        <v>1.2253504811019846</v>
      </c>
      <c r="W352" s="304">
        <f t="shared" ca="1" si="149"/>
        <v>3.5433561320231459</v>
      </c>
      <c r="Y352" s="314" t="str">
        <f t="shared" ca="1" si="167"/>
        <v/>
      </c>
      <c r="Z352" s="315" t="str">
        <f t="shared" ca="1" si="168"/>
        <v/>
      </c>
      <c r="AA352" s="316" t="str">
        <f t="shared" ca="1" si="169"/>
        <v/>
      </c>
      <c r="AC352" s="310" t="e">
        <f t="shared" ca="1" si="170"/>
        <v>#N/A</v>
      </c>
      <c r="AD352" s="323" t="e">
        <f t="shared" ca="1" si="171"/>
        <v>#N/A</v>
      </c>
      <c r="AE352" s="324" t="e">
        <f t="shared" ca="1" si="150"/>
        <v>#N/A</v>
      </c>
      <c r="AG352" s="306">
        <f t="shared" ca="1" si="172"/>
        <v>1.4864751919054751</v>
      </c>
      <c r="AH352" s="304">
        <f t="shared" ca="1" si="173"/>
        <v>-8.298206408683237</v>
      </c>
    </row>
    <row r="353" spans="1:34" x14ac:dyDescent="0.3">
      <c r="A353" s="347">
        <f t="shared" ca="1" si="151"/>
        <v>1E-4</v>
      </c>
      <c r="B353" s="304">
        <f t="shared" ca="1" si="152"/>
        <v>16.10079999999996</v>
      </c>
      <c r="D353" s="306">
        <f t="shared" ca="1" si="153"/>
        <v>-0.59579523164974124</v>
      </c>
      <c r="E353" s="307">
        <f t="shared" ca="1" si="154"/>
        <v>-1.533158056607304</v>
      </c>
      <c r="F353" s="304">
        <f t="shared" ca="1" si="155"/>
        <v>1.6448542745776764</v>
      </c>
      <c r="G353" s="306">
        <f t="shared" ca="1" si="156"/>
        <v>3.7538805112332261</v>
      </c>
      <c r="H353" s="307">
        <f t="shared" ca="1" si="157"/>
        <v>-52.150232983482411</v>
      </c>
      <c r="I353" s="304">
        <f t="shared" ca="1" si="158"/>
        <v>52.285164426671869</v>
      </c>
      <c r="J353" s="306">
        <f t="shared" ca="1" si="159"/>
        <v>150.09587023194715</v>
      </c>
      <c r="K353" s="307">
        <f t="shared" ca="1" si="160"/>
        <v>-2.8658760083142449</v>
      </c>
      <c r="L353" s="304">
        <f t="shared" ca="1" si="145"/>
        <v>150.12322773635179</v>
      </c>
      <c r="M353" s="306">
        <f t="shared" ca="1" si="161"/>
        <v>-1.4989382178724031</v>
      </c>
      <c r="N353" s="304">
        <f t="shared" ca="1" si="162"/>
        <v>-85.882833634949762</v>
      </c>
      <c r="P353" s="310">
        <f t="shared" ca="1" si="163"/>
        <v>23</v>
      </c>
      <c r="Q353" s="304">
        <f t="shared" ca="1" si="164"/>
        <v>0</v>
      </c>
      <c r="R353" s="306">
        <f t="shared" ca="1" si="165"/>
        <v>0</v>
      </c>
      <c r="S353" s="307">
        <f t="shared" ca="1" si="166"/>
        <v>0.4270000000000001</v>
      </c>
      <c r="T353" s="304">
        <f t="shared" ca="1" si="146"/>
        <v>4.1888700000000014</v>
      </c>
      <c r="U353" s="311">
        <f t="shared" ca="1" si="147"/>
        <v>0</v>
      </c>
      <c r="V353" s="306">
        <f t="shared" ca="1" si="148"/>
        <v>1.2253511201243554</v>
      </c>
      <c r="W353" s="304">
        <f t="shared" ca="1" si="149"/>
        <v>3.5433781269379039</v>
      </c>
      <c r="Y353" s="314" t="str">
        <f t="shared" ca="1" si="167"/>
        <v/>
      </c>
      <c r="Z353" s="315" t="str">
        <f t="shared" ca="1" si="168"/>
        <v/>
      </c>
      <c r="AA353" s="316" t="str">
        <f t="shared" ca="1" si="169"/>
        <v/>
      </c>
      <c r="AC353" s="310" t="e">
        <f t="shared" ca="1" si="170"/>
        <v>#N/A</v>
      </c>
      <c r="AD353" s="323" t="e">
        <f t="shared" ca="1" si="171"/>
        <v>#N/A</v>
      </c>
      <c r="AE353" s="324" t="e">
        <f t="shared" ca="1" si="150"/>
        <v>#N/A</v>
      </c>
      <c r="AG353" s="306">
        <f t="shared" ca="1" si="172"/>
        <v>1.4864246290001617</v>
      </c>
      <c r="AH353" s="304">
        <f t="shared" ca="1" si="173"/>
        <v>-8.2982579204289113</v>
      </c>
    </row>
    <row r="354" spans="1:34" x14ac:dyDescent="0.3">
      <c r="A354" s="347">
        <f t="shared" ca="1" si="151"/>
        <v>1E-4</v>
      </c>
      <c r="B354" s="304">
        <f t="shared" ca="1" si="152"/>
        <v>16.10089999999996</v>
      </c>
      <c r="D354" s="306">
        <f t="shared" ca="1" si="153"/>
        <v>-0.59578778014613742</v>
      </c>
      <c r="E354" s="307">
        <f t="shared" ca="1" si="154"/>
        <v>-1.5331058766104562</v>
      </c>
      <c r="F354" s="304">
        <f t="shared" ca="1" si="155"/>
        <v>1.6448029389166889</v>
      </c>
      <c r="G354" s="306">
        <f t="shared" ca="1" si="156"/>
        <v>3.7538209324552114</v>
      </c>
      <c r="H354" s="307">
        <f t="shared" ca="1" si="157"/>
        <v>-52.150386294070074</v>
      </c>
      <c r="I354" s="304">
        <f t="shared" ca="1" si="158"/>
        <v>52.285313064126051</v>
      </c>
      <c r="J354" s="306">
        <f t="shared" ca="1" si="159"/>
        <v>150.09587023194715</v>
      </c>
      <c r="K354" s="307">
        <f t="shared" ca="1" si="160"/>
        <v>-2.8710910392781224</v>
      </c>
      <c r="L354" s="304">
        <f t="shared" ca="1" si="145"/>
        <v>150.12332738266008</v>
      </c>
      <c r="M354" s="306">
        <f t="shared" ca="1" si="161"/>
        <v>-1.4989395649458053</v>
      </c>
      <c r="N354" s="304">
        <f t="shared" ca="1" si="162"/>
        <v>-85.882910816570401</v>
      </c>
      <c r="P354" s="310">
        <f t="shared" ca="1" si="163"/>
        <v>23</v>
      </c>
      <c r="Q354" s="304">
        <f t="shared" ca="1" si="164"/>
        <v>0</v>
      </c>
      <c r="R354" s="306">
        <f t="shared" ca="1" si="165"/>
        <v>0</v>
      </c>
      <c r="S354" s="307">
        <f t="shared" ca="1" si="166"/>
        <v>0.4270000000000001</v>
      </c>
      <c r="T354" s="304">
        <f t="shared" ca="1" si="146"/>
        <v>4.1888700000000014</v>
      </c>
      <c r="U354" s="311">
        <f t="shared" ca="1" si="147"/>
        <v>0</v>
      </c>
      <c r="V354" s="306">
        <f t="shared" ca="1" si="148"/>
        <v>1.2253517591489385</v>
      </c>
      <c r="W354" s="304">
        <f t="shared" ca="1" si="149"/>
        <v>3.5434001212520339</v>
      </c>
      <c r="Y354" s="314" t="str">
        <f t="shared" ca="1" si="167"/>
        <v/>
      </c>
      <c r="Z354" s="315" t="str">
        <f t="shared" ca="1" si="168"/>
        <v/>
      </c>
      <c r="AA354" s="316" t="str">
        <f t="shared" ca="1" si="169"/>
        <v/>
      </c>
      <c r="AC354" s="310" t="e">
        <f t="shared" ca="1" si="170"/>
        <v>#N/A</v>
      </c>
      <c r="AD354" s="323" t="e">
        <f t="shared" ca="1" si="171"/>
        <v>#N/A</v>
      </c>
      <c r="AE354" s="324" t="e">
        <f t="shared" ca="1" si="150"/>
        <v>#N/A</v>
      </c>
      <c r="AG354" s="306">
        <f t="shared" ca="1" si="172"/>
        <v>1.4863740674633021</v>
      </c>
      <c r="AH354" s="304">
        <f t="shared" ca="1" si="173"/>
        <v>-8.2983094307679224</v>
      </c>
    </row>
    <row r="355" spans="1:34" x14ac:dyDescent="0.3">
      <c r="A355" s="347">
        <f t="shared" ca="1" si="151"/>
        <v>1E-4</v>
      </c>
      <c r="B355" s="304">
        <f t="shared" ca="1" si="152"/>
        <v>16.10099999999996</v>
      </c>
      <c r="D355" s="306">
        <f t="shared" ca="1" si="153"/>
        <v>-0.59578032864239894</v>
      </c>
      <c r="E355" s="307">
        <f t="shared" ca="1" si="154"/>
        <v>-1.5330536980389571</v>
      </c>
      <c r="F355" s="304">
        <f t="shared" ca="1" si="155"/>
        <v>1.6447516046711024</v>
      </c>
      <c r="G355" s="306">
        <f t="shared" ca="1" si="156"/>
        <v>3.7537613544223474</v>
      </c>
      <c r="H355" s="307">
        <f t="shared" ca="1" si="157"/>
        <v>-52.150539599439881</v>
      </c>
      <c r="I355" s="304">
        <f t="shared" ca="1" si="158"/>
        <v>52.285461696524223</v>
      </c>
      <c r="J355" s="306">
        <f t="shared" ca="1" si="159"/>
        <v>150.09587023194715</v>
      </c>
      <c r="K355" s="307">
        <f t="shared" ca="1" si="160"/>
        <v>-2.8763060855727978</v>
      </c>
      <c r="L355" s="304">
        <f t="shared" ca="1" si="145"/>
        <v>150.12342721035722</v>
      </c>
      <c r="M355" s="306">
        <f t="shared" ca="1" si="161"/>
        <v>-1.4989409119901689</v>
      </c>
      <c r="N355" s="304">
        <f t="shared" ca="1" si="162"/>
        <v>-85.882987996527248</v>
      </c>
      <c r="P355" s="310">
        <f t="shared" ca="1" si="163"/>
        <v>23</v>
      </c>
      <c r="Q355" s="304">
        <f t="shared" ca="1" si="164"/>
        <v>0</v>
      </c>
      <c r="R355" s="306">
        <f t="shared" ca="1" si="165"/>
        <v>0</v>
      </c>
      <c r="S355" s="307">
        <f t="shared" ca="1" si="166"/>
        <v>0.4270000000000001</v>
      </c>
      <c r="T355" s="304">
        <f t="shared" ca="1" si="146"/>
        <v>4.1888700000000014</v>
      </c>
      <c r="U355" s="311">
        <f t="shared" ca="1" si="147"/>
        <v>0</v>
      </c>
      <c r="V355" s="306">
        <f t="shared" ca="1" si="148"/>
        <v>1.2253523981757337</v>
      </c>
      <c r="W355" s="304">
        <f t="shared" ca="1" si="149"/>
        <v>3.5434221149655474</v>
      </c>
      <c r="Y355" s="314" t="str">
        <f t="shared" ca="1" si="167"/>
        <v/>
      </c>
      <c r="Z355" s="315" t="str">
        <f t="shared" ca="1" si="168"/>
        <v/>
      </c>
      <c r="AA355" s="316" t="str">
        <f t="shared" ca="1" si="169"/>
        <v/>
      </c>
      <c r="AC355" s="310" t="e">
        <f t="shared" ca="1" si="170"/>
        <v>#N/A</v>
      </c>
      <c r="AD355" s="323" t="e">
        <f t="shared" ca="1" si="171"/>
        <v>#N/A</v>
      </c>
      <c r="AE355" s="324" t="e">
        <f t="shared" ca="1" si="150"/>
        <v>#N/A</v>
      </c>
      <c r="AG355" s="306">
        <f t="shared" ca="1" si="172"/>
        <v>1.4863235072948573</v>
      </c>
      <c r="AH355" s="304">
        <f t="shared" ca="1" si="173"/>
        <v>-8.2983609397003111</v>
      </c>
    </row>
    <row r="356" spans="1:34" x14ac:dyDescent="0.3">
      <c r="A356" s="347">
        <f t="shared" ca="1" si="151"/>
        <v>1E-4</v>
      </c>
      <c r="B356" s="304">
        <f t="shared" ca="1" si="152"/>
        <v>16.10109999999996</v>
      </c>
      <c r="D356" s="306">
        <f t="shared" ca="1" si="153"/>
        <v>-0.59577287713853244</v>
      </c>
      <c r="E356" s="307">
        <f t="shared" ca="1" si="154"/>
        <v>-1.5330015208927819</v>
      </c>
      <c r="F356" s="304">
        <f t="shared" ca="1" si="155"/>
        <v>1.644700271840893</v>
      </c>
      <c r="G356" s="306">
        <f t="shared" ca="1" si="156"/>
        <v>3.7537017771346335</v>
      </c>
      <c r="H356" s="307">
        <f t="shared" ca="1" si="157"/>
        <v>-52.150692899591974</v>
      </c>
      <c r="I356" s="304">
        <f t="shared" ca="1" si="158"/>
        <v>52.285610323866514</v>
      </c>
      <c r="J356" s="306">
        <f t="shared" ca="1" si="159"/>
        <v>150.09587023194715</v>
      </c>
      <c r="K356" s="307">
        <f t="shared" ca="1" si="160"/>
        <v>-2.8815211471977493</v>
      </c>
      <c r="L356" s="304">
        <f t="shared" ca="1" si="145"/>
        <v>150.12352721944441</v>
      </c>
      <c r="M356" s="306">
        <f t="shared" ca="1" si="161"/>
        <v>-1.498942259005495</v>
      </c>
      <c r="N356" s="304">
        <f t="shared" ca="1" si="162"/>
        <v>-85.883065174820373</v>
      </c>
      <c r="P356" s="310">
        <f t="shared" ca="1" si="163"/>
        <v>23</v>
      </c>
      <c r="Q356" s="304">
        <f t="shared" ca="1" si="164"/>
        <v>0</v>
      </c>
      <c r="R356" s="306">
        <f t="shared" ca="1" si="165"/>
        <v>0</v>
      </c>
      <c r="S356" s="307">
        <f t="shared" ca="1" si="166"/>
        <v>0.4270000000000001</v>
      </c>
      <c r="T356" s="304">
        <f t="shared" ca="1" si="146"/>
        <v>4.1888700000000014</v>
      </c>
      <c r="U356" s="311">
        <f t="shared" ca="1" si="147"/>
        <v>0</v>
      </c>
      <c r="V356" s="306">
        <f t="shared" ca="1" si="148"/>
        <v>1.2253530372047405</v>
      </c>
      <c r="W356" s="304">
        <f t="shared" ca="1" si="149"/>
        <v>3.5434441080784538</v>
      </c>
      <c r="Y356" s="314" t="str">
        <f t="shared" ca="1" si="167"/>
        <v/>
      </c>
      <c r="Z356" s="315" t="str">
        <f t="shared" ca="1" si="168"/>
        <v/>
      </c>
      <c r="AA356" s="316" t="str">
        <f t="shared" ca="1" si="169"/>
        <v/>
      </c>
      <c r="AC356" s="310" t="e">
        <f t="shared" ca="1" si="170"/>
        <v>#N/A</v>
      </c>
      <c r="AD356" s="323" t="e">
        <f t="shared" ca="1" si="171"/>
        <v>#N/A</v>
      </c>
      <c r="AE356" s="324" t="e">
        <f t="shared" ca="1" si="150"/>
        <v>#N/A</v>
      </c>
      <c r="AG356" s="306">
        <f t="shared" ca="1" si="172"/>
        <v>1.4862729484948005</v>
      </c>
      <c r="AH356" s="304">
        <f t="shared" ca="1" si="173"/>
        <v>-8.298412447226104</v>
      </c>
    </row>
    <row r="357" spans="1:34" x14ac:dyDescent="0.3">
      <c r="A357" s="347">
        <f t="shared" ca="1" si="151"/>
        <v>1E-4</v>
      </c>
      <c r="B357" s="304">
        <f t="shared" ca="1" si="152"/>
        <v>16.10119999999996</v>
      </c>
      <c r="D357" s="306">
        <f t="shared" ca="1" si="153"/>
        <v>-0.59576542563454016</v>
      </c>
      <c r="E357" s="307">
        <f t="shared" ca="1" si="154"/>
        <v>-1.5329493451719056</v>
      </c>
      <c r="F357" s="304">
        <f t="shared" ca="1" si="155"/>
        <v>1.6446489404260347</v>
      </c>
      <c r="G357" s="306">
        <f t="shared" ca="1" si="156"/>
        <v>3.7536422005920702</v>
      </c>
      <c r="H357" s="307">
        <f t="shared" ca="1" si="157"/>
        <v>-52.150846194526494</v>
      </c>
      <c r="I357" s="304">
        <f t="shared" ca="1" si="158"/>
        <v>52.285758946153052</v>
      </c>
      <c r="J357" s="306">
        <f t="shared" ca="1" si="159"/>
        <v>150.09587023194715</v>
      </c>
      <c r="K357" s="307">
        <f t="shared" ca="1" si="160"/>
        <v>-2.8867362241524552</v>
      </c>
      <c r="L357" s="304">
        <f t="shared" ca="1" si="145"/>
        <v>150.12362740992288</v>
      </c>
      <c r="M357" s="306">
        <f t="shared" ca="1" si="161"/>
        <v>-1.4989436059917844</v>
      </c>
      <c r="N357" s="304">
        <f t="shared" ca="1" si="162"/>
        <v>-85.88314235144982</v>
      </c>
      <c r="P357" s="310">
        <f t="shared" ca="1" si="163"/>
        <v>23</v>
      </c>
      <c r="Q357" s="304">
        <f t="shared" ca="1" si="164"/>
        <v>0</v>
      </c>
      <c r="R357" s="306">
        <f t="shared" ca="1" si="165"/>
        <v>0</v>
      </c>
      <c r="S357" s="307">
        <f t="shared" ca="1" si="166"/>
        <v>0.4270000000000001</v>
      </c>
      <c r="T357" s="304">
        <f t="shared" ca="1" si="146"/>
        <v>4.1888700000000014</v>
      </c>
      <c r="U357" s="311">
        <f t="shared" ca="1" si="147"/>
        <v>0</v>
      </c>
      <c r="V357" s="306">
        <f t="shared" ca="1" si="148"/>
        <v>1.2253536762359587</v>
      </c>
      <c r="W357" s="304">
        <f t="shared" ca="1" si="149"/>
        <v>3.5434661005907637</v>
      </c>
      <c r="Y357" s="314" t="str">
        <f t="shared" ca="1" si="167"/>
        <v/>
      </c>
      <c r="Z357" s="315" t="str">
        <f t="shared" ca="1" si="168"/>
        <v/>
      </c>
      <c r="AA357" s="316" t="str">
        <f t="shared" ca="1" si="169"/>
        <v/>
      </c>
      <c r="AC357" s="310" t="e">
        <f t="shared" ca="1" si="170"/>
        <v>#N/A</v>
      </c>
      <c r="AD357" s="323" t="e">
        <f t="shared" ca="1" si="171"/>
        <v>#N/A</v>
      </c>
      <c r="AE357" s="324" t="e">
        <f t="shared" ca="1" si="150"/>
        <v>#N/A</v>
      </c>
      <c r="AG357" s="306">
        <f t="shared" ca="1" si="172"/>
        <v>1.4862223910631123</v>
      </c>
      <c r="AH357" s="304">
        <f t="shared" ca="1" si="173"/>
        <v>-8.2984639533453226</v>
      </c>
    </row>
    <row r="358" spans="1:34" x14ac:dyDescent="0.3">
      <c r="A358" s="347">
        <f t="shared" ca="1" si="151"/>
        <v>1E-4</v>
      </c>
      <c r="B358" s="304">
        <f t="shared" ca="1" si="152"/>
        <v>16.101299999999959</v>
      </c>
      <c r="D358" s="306">
        <f t="shared" ca="1" si="153"/>
        <v>-0.59575797413042886</v>
      </c>
      <c r="E358" s="307">
        <f t="shared" ca="1" si="154"/>
        <v>-1.5328971708763053</v>
      </c>
      <c r="F358" s="304">
        <f t="shared" ca="1" si="155"/>
        <v>1.6445976104265061</v>
      </c>
      <c r="G358" s="306">
        <f t="shared" ca="1" si="156"/>
        <v>3.7535826247946571</v>
      </c>
      <c r="H358" s="307">
        <f t="shared" ca="1" si="157"/>
        <v>-52.150999484243584</v>
      </c>
      <c r="I358" s="304">
        <f t="shared" ca="1" si="158"/>
        <v>52.285907563383986</v>
      </c>
      <c r="J358" s="306">
        <f t="shared" ca="1" si="159"/>
        <v>150.09587023194715</v>
      </c>
      <c r="K358" s="307">
        <f t="shared" ca="1" si="160"/>
        <v>-2.8919513164363937</v>
      </c>
      <c r="L358" s="304">
        <f t="shared" ca="1" si="145"/>
        <v>150.12372778179389</v>
      </c>
      <c r="M358" s="306">
        <f t="shared" ca="1" si="161"/>
        <v>-1.4989449529490377</v>
      </c>
      <c r="N358" s="304">
        <f t="shared" ca="1" si="162"/>
        <v>-85.883219526415616</v>
      </c>
      <c r="P358" s="310">
        <f t="shared" ca="1" si="163"/>
        <v>23</v>
      </c>
      <c r="Q358" s="304">
        <f t="shared" ca="1" si="164"/>
        <v>0</v>
      </c>
      <c r="R358" s="306">
        <f t="shared" ca="1" si="165"/>
        <v>0</v>
      </c>
      <c r="S358" s="307">
        <f t="shared" ca="1" si="166"/>
        <v>0.4270000000000001</v>
      </c>
      <c r="T358" s="304">
        <f t="shared" ca="1" si="146"/>
        <v>4.1888700000000014</v>
      </c>
      <c r="U358" s="311">
        <f t="shared" ca="1" si="147"/>
        <v>0</v>
      </c>
      <c r="V358" s="306">
        <f t="shared" ca="1" si="148"/>
        <v>1.2253543152693891</v>
      </c>
      <c r="W358" s="304">
        <f t="shared" ca="1" si="149"/>
        <v>3.5434880925024923</v>
      </c>
      <c r="Y358" s="314" t="str">
        <f t="shared" ca="1" si="167"/>
        <v/>
      </c>
      <c r="Z358" s="315" t="str">
        <f t="shared" ca="1" si="168"/>
        <v/>
      </c>
      <c r="AA358" s="316" t="str">
        <f t="shared" ca="1" si="169"/>
        <v/>
      </c>
      <c r="AC358" s="310" t="e">
        <f t="shared" ca="1" si="170"/>
        <v>#N/A</v>
      </c>
      <c r="AD358" s="323" t="e">
        <f t="shared" ca="1" si="171"/>
        <v>#N/A</v>
      </c>
      <c r="AE358" s="324" t="e">
        <f t="shared" ca="1" si="150"/>
        <v>#N/A</v>
      </c>
      <c r="AG358" s="306">
        <f t="shared" ca="1" si="172"/>
        <v>1.4861718349997695</v>
      </c>
      <c r="AH358" s="304">
        <f t="shared" ca="1" si="173"/>
        <v>-8.2985154580579934</v>
      </c>
    </row>
    <row r="359" spans="1:34" x14ac:dyDescent="0.3">
      <c r="A359" s="347">
        <f t="shared" ca="1" si="151"/>
        <v>1E-4</v>
      </c>
      <c r="B359" s="304">
        <f t="shared" ca="1" si="152"/>
        <v>16.101399999999959</v>
      </c>
      <c r="D359" s="306">
        <f t="shared" ca="1" si="153"/>
        <v>-0.59575052262620576</v>
      </c>
      <c r="E359" s="307">
        <f t="shared" ca="1" si="154"/>
        <v>-1.5328449980059453</v>
      </c>
      <c r="F359" s="304">
        <f t="shared" ca="1" si="155"/>
        <v>1.6445462818422727</v>
      </c>
      <c r="G359" s="306">
        <f t="shared" ca="1" si="156"/>
        <v>3.7535230497423946</v>
      </c>
      <c r="H359" s="307">
        <f t="shared" ca="1" si="157"/>
        <v>-52.151152768743387</v>
      </c>
      <c r="I359" s="304">
        <f t="shared" ca="1" si="158"/>
        <v>52.286056175559452</v>
      </c>
      <c r="J359" s="306">
        <f t="shared" ca="1" si="159"/>
        <v>150.09587023194715</v>
      </c>
      <c r="K359" s="307">
        <f t="shared" ca="1" si="160"/>
        <v>-2.8971664240490429</v>
      </c>
      <c r="L359" s="304">
        <f t="shared" ca="1" si="145"/>
        <v>150.12382833505865</v>
      </c>
      <c r="M359" s="306">
        <f t="shared" ca="1" si="161"/>
        <v>-1.498946299877256</v>
      </c>
      <c r="N359" s="304">
        <f t="shared" ca="1" si="162"/>
        <v>-85.883296699717832</v>
      </c>
      <c r="P359" s="310">
        <f t="shared" ca="1" si="163"/>
        <v>23</v>
      </c>
      <c r="Q359" s="304">
        <f t="shared" ca="1" si="164"/>
        <v>0</v>
      </c>
      <c r="R359" s="306">
        <f t="shared" ca="1" si="165"/>
        <v>0</v>
      </c>
      <c r="S359" s="307">
        <f t="shared" ca="1" si="166"/>
        <v>0.4270000000000001</v>
      </c>
      <c r="T359" s="304">
        <f t="shared" ca="1" si="146"/>
        <v>4.1888700000000014</v>
      </c>
      <c r="U359" s="311">
        <f t="shared" ca="1" si="147"/>
        <v>0</v>
      </c>
      <c r="V359" s="306">
        <f t="shared" ca="1" si="148"/>
        <v>1.2253549543050308</v>
      </c>
      <c r="W359" s="304">
        <f t="shared" ca="1" si="149"/>
        <v>3.5435100838136484</v>
      </c>
      <c r="Y359" s="314" t="str">
        <f t="shared" ca="1" si="167"/>
        <v/>
      </c>
      <c r="Z359" s="315" t="str">
        <f t="shared" ca="1" si="168"/>
        <v/>
      </c>
      <c r="AA359" s="316" t="str">
        <f t="shared" ca="1" si="169"/>
        <v/>
      </c>
      <c r="AC359" s="310" t="e">
        <f t="shared" ca="1" si="170"/>
        <v>#N/A</v>
      </c>
      <c r="AD359" s="323" t="e">
        <f t="shared" ca="1" si="171"/>
        <v>#N/A</v>
      </c>
      <c r="AE359" s="324" t="e">
        <f t="shared" ca="1" si="150"/>
        <v>#N/A</v>
      </c>
      <c r="AG359" s="306">
        <f t="shared" ca="1" si="172"/>
        <v>1.4861212803047401</v>
      </c>
      <c r="AH359" s="304">
        <f t="shared" ca="1" si="173"/>
        <v>-8.2985669613641484</v>
      </c>
    </row>
    <row r="360" spans="1:34" x14ac:dyDescent="0.3">
      <c r="A360" s="347">
        <f t="shared" ca="1" si="151"/>
        <v>1E-4</v>
      </c>
      <c r="B360" s="304">
        <f t="shared" ca="1" si="152"/>
        <v>16.101499999999959</v>
      </c>
      <c r="D360" s="306">
        <f t="shared" ca="1" si="153"/>
        <v>-0.5957430711218733</v>
      </c>
      <c r="E360" s="307">
        <f t="shared" ca="1" si="154"/>
        <v>-1.5327928265608026</v>
      </c>
      <c r="F360" s="304">
        <f t="shared" ca="1" si="155"/>
        <v>1.6444949546733112</v>
      </c>
      <c r="G360" s="306">
        <f t="shared" ca="1" si="156"/>
        <v>3.7534634754352822</v>
      </c>
      <c r="H360" s="307">
        <f t="shared" ca="1" si="157"/>
        <v>-52.151306048026044</v>
      </c>
      <c r="I360" s="304">
        <f t="shared" ca="1" si="158"/>
        <v>52.286204782679576</v>
      </c>
      <c r="J360" s="306">
        <f t="shared" ca="1" si="159"/>
        <v>150.09587023194715</v>
      </c>
      <c r="K360" s="307">
        <f t="shared" ca="1" si="160"/>
        <v>-2.9023815469898815</v>
      </c>
      <c r="L360" s="304">
        <f t="shared" ca="1" si="145"/>
        <v>150.12392906971834</v>
      </c>
      <c r="M360" s="306">
        <f t="shared" ca="1" si="161"/>
        <v>-1.4989476467764402</v>
      </c>
      <c r="N360" s="304">
        <f t="shared" ca="1" si="162"/>
        <v>-85.883373871356525</v>
      </c>
      <c r="P360" s="310">
        <f t="shared" ca="1" si="163"/>
        <v>23</v>
      </c>
      <c r="Q360" s="304">
        <f t="shared" ca="1" si="164"/>
        <v>0</v>
      </c>
      <c r="R360" s="306">
        <f t="shared" ca="1" si="165"/>
        <v>0</v>
      </c>
      <c r="S360" s="307">
        <f t="shared" ca="1" si="166"/>
        <v>0.4270000000000001</v>
      </c>
      <c r="T360" s="304">
        <f t="shared" ca="1" si="146"/>
        <v>4.1888700000000014</v>
      </c>
      <c r="U360" s="311">
        <f t="shared" ca="1" si="147"/>
        <v>0</v>
      </c>
      <c r="V360" s="306">
        <f t="shared" ca="1" si="148"/>
        <v>1.2253555933428839</v>
      </c>
      <c r="W360" s="304">
        <f t="shared" ca="1" si="149"/>
        <v>3.543532074524244</v>
      </c>
      <c r="Y360" s="314" t="str">
        <f t="shared" ca="1" si="167"/>
        <v/>
      </c>
      <c r="Z360" s="315" t="str">
        <f t="shared" ca="1" si="168"/>
        <v/>
      </c>
      <c r="AA360" s="316" t="str">
        <f t="shared" ca="1" si="169"/>
        <v/>
      </c>
      <c r="AC360" s="310" t="e">
        <f t="shared" ca="1" si="170"/>
        <v>#N/A</v>
      </c>
      <c r="AD360" s="323" t="e">
        <f t="shared" ca="1" si="171"/>
        <v>#N/A</v>
      </c>
      <c r="AE360" s="324" t="e">
        <f t="shared" ca="1" si="150"/>
        <v>#N/A</v>
      </c>
      <c r="AG360" s="306">
        <f t="shared" ca="1" si="172"/>
        <v>1.4860707269779994</v>
      </c>
      <c r="AH360" s="304">
        <f t="shared" ca="1" si="173"/>
        <v>-8.2986184632638125</v>
      </c>
    </row>
    <row r="361" spans="1:34" x14ac:dyDescent="0.3">
      <c r="A361" s="347">
        <f t="shared" ca="1" si="151"/>
        <v>1E-4</v>
      </c>
      <c r="B361" s="304">
        <f t="shared" ca="1" si="152"/>
        <v>16.101599999999959</v>
      </c>
      <c r="D361" s="306">
        <f t="shared" ca="1" si="153"/>
        <v>-0.59573561961743637</v>
      </c>
      <c r="E361" s="307">
        <f t="shared" ca="1" si="154"/>
        <v>-1.5327406565408506</v>
      </c>
      <c r="F361" s="304">
        <f t="shared" ca="1" si="155"/>
        <v>1.6444436289195956</v>
      </c>
      <c r="G361" s="306">
        <f t="shared" ca="1" si="156"/>
        <v>3.7534039018733205</v>
      </c>
      <c r="H361" s="307">
        <f t="shared" ca="1" si="157"/>
        <v>-52.151459322091696</v>
      </c>
      <c r="I361" s="304">
        <f t="shared" ca="1" si="158"/>
        <v>52.286353384744501</v>
      </c>
      <c r="J361" s="306">
        <f t="shared" ca="1" si="159"/>
        <v>150.09587023194715</v>
      </c>
      <c r="K361" s="307">
        <f t="shared" ca="1" si="160"/>
        <v>-2.9075966852583872</v>
      </c>
      <c r="L361" s="304">
        <f t="shared" ca="1" si="145"/>
        <v>150.12402998577423</v>
      </c>
      <c r="M361" s="306">
        <f t="shared" ca="1" si="161"/>
        <v>-1.498948993646591</v>
      </c>
      <c r="N361" s="304">
        <f t="shared" ca="1" si="162"/>
        <v>-85.88345104133171</v>
      </c>
      <c r="P361" s="310">
        <f t="shared" ca="1" si="163"/>
        <v>23</v>
      </c>
      <c r="Q361" s="304">
        <f t="shared" ca="1" si="164"/>
        <v>0</v>
      </c>
      <c r="R361" s="306">
        <f t="shared" ca="1" si="165"/>
        <v>0</v>
      </c>
      <c r="S361" s="307">
        <f t="shared" ca="1" si="166"/>
        <v>0.4270000000000001</v>
      </c>
      <c r="T361" s="304">
        <f t="shared" ca="1" si="146"/>
        <v>4.1888700000000014</v>
      </c>
      <c r="U361" s="311">
        <f t="shared" ca="1" si="147"/>
        <v>0</v>
      </c>
      <c r="V361" s="306">
        <f t="shared" ca="1" si="148"/>
        <v>1.225356232382949</v>
      </c>
      <c r="W361" s="304">
        <f t="shared" ca="1" si="149"/>
        <v>3.5435540646342933</v>
      </c>
      <c r="Y361" s="314" t="str">
        <f t="shared" ca="1" si="167"/>
        <v/>
      </c>
      <c r="Z361" s="315" t="str">
        <f t="shared" ca="1" si="168"/>
        <v/>
      </c>
      <c r="AA361" s="316" t="str">
        <f t="shared" ca="1" si="169"/>
        <v/>
      </c>
      <c r="AC361" s="310" t="e">
        <f t="shared" ca="1" si="170"/>
        <v>#N/A</v>
      </c>
      <c r="AD361" s="323" t="e">
        <f t="shared" ca="1" si="171"/>
        <v>#N/A</v>
      </c>
      <c r="AE361" s="324" t="e">
        <f t="shared" ca="1" si="150"/>
        <v>#N/A</v>
      </c>
      <c r="AG361" s="306">
        <f t="shared" ca="1" si="172"/>
        <v>1.4860201750195294</v>
      </c>
      <c r="AH361" s="304">
        <f t="shared" ca="1" si="173"/>
        <v>-8.2986699637570105</v>
      </c>
    </row>
    <row r="362" spans="1:34" x14ac:dyDescent="0.3">
      <c r="A362" s="347">
        <f t="shared" ca="1" si="151"/>
        <v>1E-4</v>
      </c>
      <c r="B362" s="304">
        <f t="shared" ca="1" si="152"/>
        <v>16.101699999999958</v>
      </c>
      <c r="D362" s="306">
        <f t="shared" ca="1" si="153"/>
        <v>-0.59572816811290197</v>
      </c>
      <c r="E362" s="307">
        <f t="shared" ca="1" si="154"/>
        <v>-1.5326884879460536</v>
      </c>
      <c r="F362" s="304">
        <f t="shared" ca="1" si="155"/>
        <v>1.6443923045810918</v>
      </c>
      <c r="G362" s="306">
        <f t="shared" ca="1" si="156"/>
        <v>3.7533443290565094</v>
      </c>
      <c r="H362" s="307">
        <f t="shared" ca="1" si="157"/>
        <v>-52.151612590940488</v>
      </c>
      <c r="I362" s="304">
        <f t="shared" ca="1" si="158"/>
        <v>52.286501981754363</v>
      </c>
      <c r="J362" s="306">
        <f t="shared" ca="1" si="159"/>
        <v>150.09587023194715</v>
      </c>
      <c r="K362" s="307">
        <f t="shared" ca="1" si="160"/>
        <v>-2.9128118388540387</v>
      </c>
      <c r="L362" s="304">
        <f t="shared" ca="1" si="145"/>
        <v>150.12413108322755</v>
      </c>
      <c r="M362" s="306">
        <f t="shared" ca="1" si="161"/>
        <v>-1.4989503404877089</v>
      </c>
      <c r="N362" s="304">
        <f t="shared" ca="1" si="162"/>
        <v>-85.883528209643444</v>
      </c>
      <c r="P362" s="310">
        <f t="shared" ca="1" si="163"/>
        <v>23</v>
      </c>
      <c r="Q362" s="304">
        <f t="shared" ca="1" si="164"/>
        <v>0</v>
      </c>
      <c r="R362" s="306">
        <f t="shared" ca="1" si="165"/>
        <v>0</v>
      </c>
      <c r="S362" s="307">
        <f t="shared" ca="1" si="166"/>
        <v>0.4270000000000001</v>
      </c>
      <c r="T362" s="304">
        <f t="shared" ca="1" si="146"/>
        <v>4.1888700000000014</v>
      </c>
      <c r="U362" s="311">
        <f t="shared" ca="1" si="147"/>
        <v>0</v>
      </c>
      <c r="V362" s="306">
        <f t="shared" ca="1" si="148"/>
        <v>1.2253568714252252</v>
      </c>
      <c r="W362" s="304">
        <f t="shared" ca="1" si="149"/>
        <v>3.5435760541438031</v>
      </c>
      <c r="Y362" s="314" t="str">
        <f t="shared" ca="1" si="167"/>
        <v/>
      </c>
      <c r="Z362" s="315" t="str">
        <f t="shared" ca="1" si="168"/>
        <v/>
      </c>
      <c r="AA362" s="316" t="str">
        <f t="shared" ca="1" si="169"/>
        <v/>
      </c>
      <c r="AC362" s="310" t="e">
        <f t="shared" ca="1" si="170"/>
        <v>#N/A</v>
      </c>
      <c r="AD362" s="323" t="e">
        <f t="shared" ca="1" si="171"/>
        <v>#N/A</v>
      </c>
      <c r="AE362" s="324" t="e">
        <f t="shared" ca="1" si="150"/>
        <v>#N/A</v>
      </c>
      <c r="AG362" s="306">
        <f t="shared" ca="1" si="172"/>
        <v>1.485969624429293</v>
      </c>
      <c r="AH362" s="304">
        <f t="shared" ca="1" si="173"/>
        <v>-8.2987214628437762</v>
      </c>
    </row>
    <row r="363" spans="1:34" x14ac:dyDescent="0.3">
      <c r="A363" s="347">
        <f t="shared" ca="1" si="151"/>
        <v>1E-4</v>
      </c>
      <c r="B363" s="304">
        <f t="shared" ca="1" si="152"/>
        <v>16.101799999999958</v>
      </c>
      <c r="D363" s="306">
        <f t="shared" ca="1" si="153"/>
        <v>-0.5957207166082763</v>
      </c>
      <c r="E363" s="307">
        <f t="shared" ca="1" si="154"/>
        <v>-1.5326363207763958</v>
      </c>
      <c r="F363" s="304">
        <f t="shared" ca="1" si="155"/>
        <v>1.6443409816577841</v>
      </c>
      <c r="G363" s="306">
        <f t="shared" ca="1" si="156"/>
        <v>3.7532847569848484</v>
      </c>
      <c r="H363" s="307">
        <f t="shared" ca="1" si="157"/>
        <v>-52.151765854572567</v>
      </c>
      <c r="I363" s="304">
        <f t="shared" ca="1" si="158"/>
        <v>52.286650573709309</v>
      </c>
      <c r="J363" s="306">
        <f t="shared" ca="1" si="159"/>
        <v>150.09587023194715</v>
      </c>
      <c r="K363" s="307">
        <f t="shared" ca="1" si="160"/>
        <v>-2.9180270077763142</v>
      </c>
      <c r="L363" s="304">
        <f t="shared" ca="1" si="145"/>
        <v>150.12423236207948</v>
      </c>
      <c r="M363" s="306">
        <f t="shared" ca="1" si="161"/>
        <v>-1.4989516872997954</v>
      </c>
      <c r="N363" s="304">
        <f t="shared" ca="1" si="162"/>
        <v>-85.883605376291797</v>
      </c>
      <c r="P363" s="310">
        <f t="shared" ca="1" si="163"/>
        <v>23</v>
      </c>
      <c r="Q363" s="304">
        <f t="shared" ca="1" si="164"/>
        <v>0</v>
      </c>
      <c r="R363" s="306">
        <f t="shared" ca="1" si="165"/>
        <v>0</v>
      </c>
      <c r="S363" s="307">
        <f t="shared" ca="1" si="166"/>
        <v>0.4270000000000001</v>
      </c>
      <c r="T363" s="304">
        <f t="shared" ca="1" si="146"/>
        <v>4.1888700000000014</v>
      </c>
      <c r="U363" s="311">
        <f t="shared" ca="1" si="147"/>
        <v>0</v>
      </c>
      <c r="V363" s="306">
        <f t="shared" ca="1" si="148"/>
        <v>1.2253575104697132</v>
      </c>
      <c r="W363" s="304">
        <f t="shared" ca="1" si="149"/>
        <v>3.5435980430527914</v>
      </c>
      <c r="Y363" s="314" t="str">
        <f t="shared" ca="1" si="167"/>
        <v/>
      </c>
      <c r="Z363" s="315" t="str">
        <f t="shared" ca="1" si="168"/>
        <v/>
      </c>
      <c r="AA363" s="316" t="str">
        <f t="shared" ca="1" si="169"/>
        <v/>
      </c>
      <c r="AC363" s="310" t="e">
        <f t="shared" ca="1" si="170"/>
        <v>#N/A</v>
      </c>
      <c r="AD363" s="323" t="e">
        <f t="shared" ca="1" si="171"/>
        <v>#N/A</v>
      </c>
      <c r="AE363" s="324" t="e">
        <f t="shared" ca="1" si="150"/>
        <v>#N/A</v>
      </c>
      <c r="AG363" s="306">
        <f t="shared" ca="1" si="172"/>
        <v>1.4859190752072777</v>
      </c>
      <c r="AH363" s="304">
        <f t="shared" ca="1" si="173"/>
        <v>-8.2987729605241274</v>
      </c>
    </row>
    <row r="364" spans="1:34" x14ac:dyDescent="0.3">
      <c r="A364" s="347">
        <f t="shared" ca="1" si="151"/>
        <v>1E-4</v>
      </c>
      <c r="B364" s="304">
        <f t="shared" ca="1" si="152"/>
        <v>16.101899999999958</v>
      </c>
      <c r="D364" s="306">
        <f t="shared" ca="1" si="153"/>
        <v>-0.59571326510356115</v>
      </c>
      <c r="E364" s="307">
        <f t="shared" ca="1" si="154"/>
        <v>-1.532584155031838</v>
      </c>
      <c r="F364" s="304">
        <f t="shared" ca="1" si="155"/>
        <v>1.6442896601496337</v>
      </c>
      <c r="G364" s="306">
        <f t="shared" ca="1" si="156"/>
        <v>3.7532251856583381</v>
      </c>
      <c r="H364" s="307">
        <f t="shared" ca="1" si="157"/>
        <v>-52.151919112988068</v>
      </c>
      <c r="I364" s="304">
        <f t="shared" ca="1" si="158"/>
        <v>52.286799160609462</v>
      </c>
      <c r="J364" s="306">
        <f t="shared" ca="1" si="159"/>
        <v>150.09587023194715</v>
      </c>
      <c r="K364" s="307">
        <f t="shared" ca="1" si="160"/>
        <v>-2.9232421920246923</v>
      </c>
      <c r="L364" s="304">
        <f t="shared" ca="1" si="145"/>
        <v>150.12433382233124</v>
      </c>
      <c r="M364" s="306">
        <f t="shared" ca="1" si="161"/>
        <v>-1.4989530340828507</v>
      </c>
      <c r="N364" s="304">
        <f t="shared" ca="1" si="162"/>
        <v>-85.883682541276784</v>
      </c>
      <c r="P364" s="310">
        <f t="shared" ca="1" si="163"/>
        <v>23</v>
      </c>
      <c r="Q364" s="304">
        <f t="shared" ca="1" si="164"/>
        <v>0</v>
      </c>
      <c r="R364" s="306">
        <f t="shared" ca="1" si="165"/>
        <v>0</v>
      </c>
      <c r="S364" s="307">
        <f t="shared" ca="1" si="166"/>
        <v>0.4270000000000001</v>
      </c>
      <c r="T364" s="304">
        <f t="shared" ca="1" si="146"/>
        <v>4.1888700000000014</v>
      </c>
      <c r="U364" s="311">
        <f t="shared" ca="1" si="147"/>
        <v>0</v>
      </c>
      <c r="V364" s="306">
        <f t="shared" ca="1" si="148"/>
        <v>1.2253581495164119</v>
      </c>
      <c r="W364" s="304">
        <f t="shared" ca="1" si="149"/>
        <v>3.5436200313612636</v>
      </c>
      <c r="Y364" s="314" t="str">
        <f t="shared" ca="1" si="167"/>
        <v/>
      </c>
      <c r="Z364" s="315" t="str">
        <f t="shared" ca="1" si="168"/>
        <v/>
      </c>
      <c r="AA364" s="316" t="str">
        <f t="shared" ca="1" si="169"/>
        <v/>
      </c>
      <c r="AC364" s="310" t="e">
        <f t="shared" ca="1" si="170"/>
        <v>#N/A</v>
      </c>
      <c r="AD364" s="323" t="e">
        <f t="shared" ca="1" si="171"/>
        <v>#N/A</v>
      </c>
      <c r="AE364" s="324" t="e">
        <f t="shared" ca="1" si="150"/>
        <v>#N/A</v>
      </c>
      <c r="AG364" s="306">
        <f t="shared" ca="1" si="172"/>
        <v>1.4858685273534427</v>
      </c>
      <c r="AH364" s="304">
        <f t="shared" ca="1" si="173"/>
        <v>-8.2988244567981049</v>
      </c>
    </row>
    <row r="365" spans="1:34" x14ac:dyDescent="0.3">
      <c r="A365" s="347">
        <f t="shared" ca="1" si="151"/>
        <v>1E-4</v>
      </c>
      <c r="B365" s="304">
        <f t="shared" ca="1" si="152"/>
        <v>16.101999999999958</v>
      </c>
      <c r="D365" s="306">
        <f t="shared" ca="1" si="153"/>
        <v>-0.59570581359876595</v>
      </c>
      <c r="E365" s="307">
        <f t="shared" ca="1" si="154"/>
        <v>-1.5325319907123625</v>
      </c>
      <c r="F365" s="304">
        <f t="shared" ca="1" si="155"/>
        <v>1.6442383400566247</v>
      </c>
      <c r="G365" s="306">
        <f t="shared" ca="1" si="156"/>
        <v>3.7531656150769783</v>
      </c>
      <c r="H365" s="307">
        <f t="shared" ca="1" si="157"/>
        <v>-52.152072366187141</v>
      </c>
      <c r="I365" s="304">
        <f t="shared" ca="1" si="158"/>
        <v>52.286947742454963</v>
      </c>
      <c r="J365" s="306">
        <f t="shared" ca="1" si="159"/>
        <v>150.09587023194715</v>
      </c>
      <c r="K365" s="307">
        <f t="shared" ca="1" si="160"/>
        <v>-2.9284573915986511</v>
      </c>
      <c r="L365" s="304">
        <f t="shared" ca="1" si="145"/>
        <v>150.1244354639841</v>
      </c>
      <c r="M365" s="306">
        <f t="shared" ca="1" si="161"/>
        <v>-1.4989543808368762</v>
      </c>
      <c r="N365" s="304">
        <f t="shared" ca="1" si="162"/>
        <v>-85.883759704598489</v>
      </c>
      <c r="P365" s="310">
        <f t="shared" ca="1" si="163"/>
        <v>23</v>
      </c>
      <c r="Q365" s="304">
        <f t="shared" ca="1" si="164"/>
        <v>0</v>
      </c>
      <c r="R365" s="306">
        <f t="shared" ca="1" si="165"/>
        <v>0</v>
      </c>
      <c r="S365" s="307">
        <f t="shared" ca="1" si="166"/>
        <v>0.4270000000000001</v>
      </c>
      <c r="T365" s="304">
        <f t="shared" ca="1" si="146"/>
        <v>4.1888700000000014</v>
      </c>
      <c r="U365" s="311">
        <f t="shared" ca="1" si="147"/>
        <v>0</v>
      </c>
      <c r="V365" s="306">
        <f t="shared" ca="1" si="148"/>
        <v>1.2253587885653221</v>
      </c>
      <c r="W365" s="304">
        <f t="shared" ca="1" si="149"/>
        <v>3.5436420190692357</v>
      </c>
      <c r="Y365" s="314" t="str">
        <f t="shared" ca="1" si="167"/>
        <v/>
      </c>
      <c r="Z365" s="315" t="str">
        <f t="shared" ca="1" si="168"/>
        <v/>
      </c>
      <c r="AA365" s="316" t="str">
        <f t="shared" ca="1" si="169"/>
        <v/>
      </c>
      <c r="AC365" s="310" t="e">
        <f t="shared" ca="1" si="170"/>
        <v>#N/A</v>
      </c>
      <c r="AD365" s="323" t="e">
        <f t="shared" ca="1" si="171"/>
        <v>#N/A</v>
      </c>
      <c r="AE365" s="324" t="e">
        <f t="shared" ca="1" si="150"/>
        <v>#N/A</v>
      </c>
      <c r="AG365" s="306">
        <f t="shared" ca="1" si="172"/>
        <v>1.4858179808677772</v>
      </c>
      <c r="AH365" s="304">
        <f t="shared" ca="1" si="173"/>
        <v>-8.2988759516657211</v>
      </c>
    </row>
    <row r="366" spans="1:34" x14ac:dyDescent="0.3">
      <c r="A366" s="347">
        <f t="shared" ca="1" si="151"/>
        <v>1E-4</v>
      </c>
      <c r="B366" s="304">
        <f t="shared" ca="1" si="152"/>
        <v>16.102099999999957</v>
      </c>
      <c r="D366" s="306">
        <f t="shared" ca="1" si="153"/>
        <v>-0.59569836209389271</v>
      </c>
      <c r="E366" s="307">
        <f t="shared" ca="1" si="154"/>
        <v>-1.5324798278179337</v>
      </c>
      <c r="F366" s="304">
        <f t="shared" ca="1" si="155"/>
        <v>1.6441870213787209</v>
      </c>
      <c r="G366" s="306">
        <f t="shared" ca="1" si="156"/>
        <v>3.7531060452407687</v>
      </c>
      <c r="H366" s="307">
        <f t="shared" ca="1" si="157"/>
        <v>-52.152225614169922</v>
      </c>
      <c r="I366" s="304">
        <f t="shared" ca="1" si="158"/>
        <v>52.287096319245954</v>
      </c>
      <c r="J366" s="306">
        <f t="shared" ca="1" si="159"/>
        <v>150.09587023194715</v>
      </c>
      <c r="K366" s="307">
        <f t="shared" ca="1" si="160"/>
        <v>-2.933672606497669</v>
      </c>
      <c r="L366" s="304">
        <f t="shared" ca="1" si="145"/>
        <v>150.12453728703923</v>
      </c>
      <c r="M366" s="306">
        <f t="shared" ca="1" si="161"/>
        <v>-1.4989557275618723</v>
      </c>
      <c r="N366" s="304">
        <f t="shared" ca="1" si="162"/>
        <v>-85.883836866256928</v>
      </c>
      <c r="P366" s="310">
        <f t="shared" ca="1" si="163"/>
        <v>23</v>
      </c>
      <c r="Q366" s="304">
        <f t="shared" ca="1" si="164"/>
        <v>0</v>
      </c>
      <c r="R366" s="306">
        <f t="shared" ca="1" si="165"/>
        <v>0</v>
      </c>
      <c r="S366" s="307">
        <f t="shared" ca="1" si="166"/>
        <v>0.4270000000000001</v>
      </c>
      <c r="T366" s="304">
        <f t="shared" ca="1" si="146"/>
        <v>4.1888700000000014</v>
      </c>
      <c r="U366" s="311">
        <f t="shared" ca="1" si="147"/>
        <v>0</v>
      </c>
      <c r="V366" s="306">
        <f t="shared" ca="1" si="148"/>
        <v>1.2253594276164437</v>
      </c>
      <c r="W366" s="304">
        <f t="shared" ca="1" si="149"/>
        <v>3.5436640061767171</v>
      </c>
      <c r="Y366" s="314" t="str">
        <f t="shared" ca="1" si="167"/>
        <v/>
      </c>
      <c r="Z366" s="315" t="str">
        <f t="shared" ca="1" si="168"/>
        <v/>
      </c>
      <c r="AA366" s="316" t="str">
        <f t="shared" ca="1" si="169"/>
        <v/>
      </c>
      <c r="AC366" s="310" t="e">
        <f t="shared" ca="1" si="170"/>
        <v>#N/A</v>
      </c>
      <c r="AD366" s="323" t="e">
        <f t="shared" ca="1" si="171"/>
        <v>#N/A</v>
      </c>
      <c r="AE366" s="324" t="e">
        <f t="shared" ca="1" si="150"/>
        <v>#N/A</v>
      </c>
      <c r="AG366" s="306">
        <f t="shared" ca="1" si="172"/>
        <v>1.4857674357502457</v>
      </c>
      <c r="AH366" s="304">
        <f t="shared" ca="1" si="173"/>
        <v>-8.2989274451270134</v>
      </c>
    </row>
    <row r="367" spans="1:34" x14ac:dyDescent="0.3">
      <c r="A367" s="347">
        <f t="shared" ca="1" si="151"/>
        <v>1E-4</v>
      </c>
      <c r="B367" s="304">
        <f t="shared" ca="1" si="152"/>
        <v>16.102199999999957</v>
      </c>
      <c r="D367" s="306">
        <f t="shared" ca="1" si="153"/>
        <v>-0.59569091058894752</v>
      </c>
      <c r="E367" s="307">
        <f t="shared" ca="1" si="154"/>
        <v>-1.5324276663485286</v>
      </c>
      <c r="F367" s="304">
        <f t="shared" ca="1" si="155"/>
        <v>1.6441357041159002</v>
      </c>
      <c r="G367" s="306">
        <f t="shared" ca="1" si="156"/>
        <v>3.7530464761497098</v>
      </c>
      <c r="H367" s="307">
        <f t="shared" ca="1" si="157"/>
        <v>-52.152378856936558</v>
      </c>
      <c r="I367" s="304">
        <f t="shared" ca="1" si="158"/>
        <v>52.287244890982571</v>
      </c>
      <c r="J367" s="306">
        <f t="shared" ca="1" si="159"/>
        <v>150.09587023194715</v>
      </c>
      <c r="K367" s="307">
        <f t="shared" ca="1" si="160"/>
        <v>-2.9388878367212246</v>
      </c>
      <c r="L367" s="304">
        <f t="shared" ca="1" si="145"/>
        <v>150.12463929149786</v>
      </c>
      <c r="M367" s="306">
        <f t="shared" ca="1" si="161"/>
        <v>-1.4989570742578402</v>
      </c>
      <c r="N367" s="304">
        <f t="shared" ca="1" si="162"/>
        <v>-85.883914026252185</v>
      </c>
      <c r="P367" s="310">
        <f t="shared" ca="1" si="163"/>
        <v>23</v>
      </c>
      <c r="Q367" s="304">
        <f t="shared" ca="1" si="164"/>
        <v>0</v>
      </c>
      <c r="R367" s="306">
        <f t="shared" ca="1" si="165"/>
        <v>0</v>
      </c>
      <c r="S367" s="307">
        <f t="shared" ca="1" si="166"/>
        <v>0.4270000000000001</v>
      </c>
      <c r="T367" s="304">
        <f t="shared" ca="1" si="146"/>
        <v>4.1888700000000014</v>
      </c>
      <c r="U367" s="311">
        <f t="shared" ca="1" si="147"/>
        <v>0</v>
      </c>
      <c r="V367" s="306">
        <f t="shared" ca="1" si="148"/>
        <v>1.2253600666697761</v>
      </c>
      <c r="W367" s="304">
        <f t="shared" ca="1" si="149"/>
        <v>3.5436859926837214</v>
      </c>
      <c r="Y367" s="314" t="str">
        <f t="shared" ca="1" si="167"/>
        <v/>
      </c>
      <c r="Z367" s="315" t="str">
        <f t="shared" ca="1" si="168"/>
        <v/>
      </c>
      <c r="AA367" s="316" t="str">
        <f t="shared" ca="1" si="169"/>
        <v/>
      </c>
      <c r="AC367" s="310" t="e">
        <f t="shared" ca="1" si="170"/>
        <v>#N/A</v>
      </c>
      <c r="AD367" s="323" t="e">
        <f t="shared" ca="1" si="171"/>
        <v>#N/A</v>
      </c>
      <c r="AE367" s="324" t="e">
        <f t="shared" ca="1" si="150"/>
        <v>#N/A</v>
      </c>
      <c r="AG367" s="306">
        <f t="shared" ca="1" si="172"/>
        <v>1.485716892000827</v>
      </c>
      <c r="AH367" s="304">
        <f t="shared" ca="1" si="173"/>
        <v>-8.2989789371820049</v>
      </c>
    </row>
    <row r="368" spans="1:34" x14ac:dyDescent="0.3">
      <c r="A368" s="347">
        <f t="shared" ca="1" si="151"/>
        <v>1E-4</v>
      </c>
      <c r="B368" s="304">
        <f t="shared" ca="1" si="152"/>
        <v>16.102299999999957</v>
      </c>
      <c r="D368" s="306">
        <f t="shared" ca="1" si="153"/>
        <v>-0.59568345908393561</v>
      </c>
      <c r="E368" s="307">
        <f t="shared" ca="1" si="154"/>
        <v>-1.5323755063041151</v>
      </c>
      <c r="F368" s="304">
        <f t="shared" ca="1" si="155"/>
        <v>1.6440843882681315</v>
      </c>
      <c r="G368" s="306">
        <f t="shared" ca="1" si="156"/>
        <v>3.7529869078038014</v>
      </c>
      <c r="H368" s="307">
        <f t="shared" ca="1" si="157"/>
        <v>-52.152532094487185</v>
      </c>
      <c r="I368" s="304">
        <f t="shared" ca="1" si="158"/>
        <v>52.287393457664948</v>
      </c>
      <c r="J368" s="306">
        <f t="shared" ca="1" si="159"/>
        <v>150.09587023194715</v>
      </c>
      <c r="K368" s="307">
        <f t="shared" ca="1" si="160"/>
        <v>-2.9441030822687959</v>
      </c>
      <c r="L368" s="304">
        <f t="shared" ca="1" si="145"/>
        <v>150.12474147736123</v>
      </c>
      <c r="M368" s="306">
        <f t="shared" ca="1" si="161"/>
        <v>-1.4989584209247804</v>
      </c>
      <c r="N368" s="304">
        <f t="shared" ca="1" si="162"/>
        <v>-85.883991184584261</v>
      </c>
      <c r="P368" s="310">
        <f t="shared" ca="1" si="163"/>
        <v>23</v>
      </c>
      <c r="Q368" s="304">
        <f t="shared" ca="1" si="164"/>
        <v>0</v>
      </c>
      <c r="R368" s="306">
        <f t="shared" ca="1" si="165"/>
        <v>0</v>
      </c>
      <c r="S368" s="307">
        <f t="shared" ca="1" si="166"/>
        <v>0.4270000000000001</v>
      </c>
      <c r="T368" s="304">
        <f t="shared" ca="1" si="146"/>
        <v>4.1888700000000014</v>
      </c>
      <c r="U368" s="311">
        <f t="shared" ca="1" si="147"/>
        <v>0</v>
      </c>
      <c r="V368" s="306">
        <f t="shared" ca="1" si="148"/>
        <v>1.2253607057253197</v>
      </c>
      <c r="W368" s="304">
        <f t="shared" ca="1" si="149"/>
        <v>3.5437079785902581</v>
      </c>
      <c r="Y368" s="314" t="str">
        <f t="shared" ca="1" si="167"/>
        <v/>
      </c>
      <c r="Z368" s="315" t="str">
        <f t="shared" ca="1" si="168"/>
        <v/>
      </c>
      <c r="AA368" s="316" t="str">
        <f t="shared" ca="1" si="169"/>
        <v/>
      </c>
      <c r="AC368" s="310" t="e">
        <f t="shared" ca="1" si="170"/>
        <v>#N/A</v>
      </c>
      <c r="AD368" s="323" t="e">
        <f t="shared" ca="1" si="171"/>
        <v>#N/A</v>
      </c>
      <c r="AE368" s="324" t="e">
        <f t="shared" ca="1" si="150"/>
        <v>#N/A</v>
      </c>
      <c r="AG368" s="306">
        <f t="shared" ca="1" si="172"/>
        <v>1.4856663496194926</v>
      </c>
      <c r="AH368" s="304">
        <f t="shared" ca="1" si="173"/>
        <v>-8.2990304278307274</v>
      </c>
    </row>
    <row r="369" spans="1:34" x14ac:dyDescent="0.3">
      <c r="A369" s="347">
        <f t="shared" ca="1" si="151"/>
        <v>1E-4</v>
      </c>
      <c r="B369" s="304">
        <f t="shared" ca="1" si="152"/>
        <v>16.102399999999957</v>
      </c>
      <c r="D369" s="306">
        <f t="shared" ca="1" si="153"/>
        <v>-0.59567600757886319</v>
      </c>
      <c r="E369" s="307">
        <f t="shared" ca="1" si="154"/>
        <v>-1.5323233476846703</v>
      </c>
      <c r="F369" s="304">
        <f t="shared" ca="1" si="155"/>
        <v>1.6440330738353925</v>
      </c>
      <c r="G369" s="306">
        <f t="shared" ca="1" si="156"/>
        <v>3.7529273402030436</v>
      </c>
      <c r="H369" s="307">
        <f t="shared" ca="1" si="157"/>
        <v>-52.152685326821953</v>
      </c>
      <c r="I369" s="304">
        <f t="shared" ca="1" si="158"/>
        <v>52.287542019293213</v>
      </c>
      <c r="J369" s="306">
        <f t="shared" ca="1" si="159"/>
        <v>150.09587023194715</v>
      </c>
      <c r="K369" s="307">
        <f t="shared" ca="1" si="160"/>
        <v>-2.9493183431398613</v>
      </c>
      <c r="L369" s="304">
        <f t="shared" ca="1" si="145"/>
        <v>150.1248438446305</v>
      </c>
      <c r="M369" s="306">
        <f t="shared" ca="1" si="161"/>
        <v>-1.498959767562694</v>
      </c>
      <c r="N369" s="304">
        <f t="shared" ca="1" si="162"/>
        <v>-85.88406834125324</v>
      </c>
      <c r="P369" s="310">
        <f t="shared" ca="1" si="163"/>
        <v>23</v>
      </c>
      <c r="Q369" s="304">
        <f t="shared" ca="1" si="164"/>
        <v>0</v>
      </c>
      <c r="R369" s="306">
        <f t="shared" ca="1" si="165"/>
        <v>0</v>
      </c>
      <c r="S369" s="307">
        <f t="shared" ca="1" si="166"/>
        <v>0.4270000000000001</v>
      </c>
      <c r="T369" s="304">
        <f t="shared" ca="1" si="146"/>
        <v>4.1888700000000014</v>
      </c>
      <c r="U369" s="311">
        <f t="shared" ca="1" si="147"/>
        <v>0</v>
      </c>
      <c r="V369" s="306">
        <f t="shared" ca="1" si="148"/>
        <v>1.2253613447830747</v>
      </c>
      <c r="W369" s="304">
        <f t="shared" ca="1" si="149"/>
        <v>3.54372996389634</v>
      </c>
      <c r="Y369" s="314" t="str">
        <f t="shared" ca="1" si="167"/>
        <v/>
      </c>
      <c r="Z369" s="315" t="str">
        <f t="shared" ca="1" si="168"/>
        <v/>
      </c>
      <c r="AA369" s="316" t="str">
        <f t="shared" ca="1" si="169"/>
        <v/>
      </c>
      <c r="AC369" s="310" t="e">
        <f t="shared" ca="1" si="170"/>
        <v>#N/A</v>
      </c>
      <c r="AD369" s="323" t="e">
        <f t="shared" ca="1" si="171"/>
        <v>#N/A</v>
      </c>
      <c r="AE369" s="324" t="e">
        <f t="shared" ca="1" si="150"/>
        <v>#N/A</v>
      </c>
      <c r="AG369" s="306">
        <f t="shared" ca="1" si="172"/>
        <v>1.4856158086062212</v>
      </c>
      <c r="AH369" s="304">
        <f t="shared" ca="1" si="173"/>
        <v>-8.2990819170732024</v>
      </c>
    </row>
    <row r="370" spans="1:34" x14ac:dyDescent="0.3">
      <c r="A370" s="347">
        <f t="shared" ca="1" si="151"/>
        <v>1E-4</v>
      </c>
      <c r="B370" s="304">
        <f t="shared" ca="1" si="152"/>
        <v>16.102499999999957</v>
      </c>
      <c r="D370" s="306">
        <f t="shared" ca="1" si="153"/>
        <v>-0.5956685560737337</v>
      </c>
      <c r="E370" s="307">
        <f t="shared" ca="1" si="154"/>
        <v>-1.5322711904901656</v>
      </c>
      <c r="F370" s="304">
        <f t="shared" ca="1" si="155"/>
        <v>1.6439817608176546</v>
      </c>
      <c r="G370" s="306">
        <f t="shared" ca="1" si="156"/>
        <v>3.7528677733474365</v>
      </c>
      <c r="H370" s="307">
        <f t="shared" ca="1" si="157"/>
        <v>-52.152838553941002</v>
      </c>
      <c r="I370" s="304">
        <f t="shared" ca="1" si="158"/>
        <v>52.287690575867515</v>
      </c>
      <c r="J370" s="306">
        <f t="shared" ca="1" si="159"/>
        <v>150.09587023194715</v>
      </c>
      <c r="K370" s="307">
        <f t="shared" ca="1" si="160"/>
        <v>-2.9545336193338994</v>
      </c>
      <c r="L370" s="304">
        <f t="shared" ca="1" si="145"/>
        <v>150.12494639330697</v>
      </c>
      <c r="M370" s="306">
        <f t="shared" ca="1" si="161"/>
        <v>-1.4989611141715815</v>
      </c>
      <c r="N370" s="304">
        <f t="shared" ca="1" si="162"/>
        <v>-85.884145496259151</v>
      </c>
      <c r="P370" s="310">
        <f t="shared" ca="1" si="163"/>
        <v>23</v>
      </c>
      <c r="Q370" s="304">
        <f t="shared" ca="1" si="164"/>
        <v>0</v>
      </c>
      <c r="R370" s="306">
        <f t="shared" ca="1" si="165"/>
        <v>0</v>
      </c>
      <c r="S370" s="307">
        <f t="shared" ca="1" si="166"/>
        <v>0.4270000000000001</v>
      </c>
      <c r="T370" s="304">
        <f t="shared" ca="1" si="146"/>
        <v>4.1888700000000014</v>
      </c>
      <c r="U370" s="311">
        <f t="shared" ca="1" si="147"/>
        <v>0</v>
      </c>
      <c r="V370" s="306">
        <f t="shared" ca="1" si="148"/>
        <v>1.2253619838430401</v>
      </c>
      <c r="W370" s="304">
        <f t="shared" ca="1" si="149"/>
        <v>3.5437519486019786</v>
      </c>
      <c r="Y370" s="314" t="str">
        <f t="shared" ca="1" si="167"/>
        <v/>
      </c>
      <c r="Z370" s="315" t="str">
        <f t="shared" ca="1" si="168"/>
        <v/>
      </c>
      <c r="AA370" s="316" t="str">
        <f t="shared" ca="1" si="169"/>
        <v/>
      </c>
      <c r="AC370" s="310" t="e">
        <f t="shared" ca="1" si="170"/>
        <v>#N/A</v>
      </c>
      <c r="AD370" s="323" t="e">
        <f t="shared" ca="1" si="171"/>
        <v>#N/A</v>
      </c>
      <c r="AE370" s="324" t="e">
        <f t="shared" ca="1" si="150"/>
        <v>#N/A</v>
      </c>
      <c r="AG370" s="306">
        <f t="shared" ca="1" si="172"/>
        <v>1.4855652689609844</v>
      </c>
      <c r="AH370" s="304">
        <f t="shared" ca="1" si="173"/>
        <v>-8.2991334049094601</v>
      </c>
    </row>
    <row r="371" spans="1:34" x14ac:dyDescent="0.3">
      <c r="A371" s="347">
        <f t="shared" ca="1" si="151"/>
        <v>1E-4</v>
      </c>
      <c r="B371" s="304">
        <f t="shared" ca="1" si="152"/>
        <v>16.102599999999956</v>
      </c>
      <c r="D371" s="306">
        <f t="shared" ca="1" si="153"/>
        <v>-0.59566110456855514</v>
      </c>
      <c r="E371" s="307">
        <f t="shared" ca="1" si="154"/>
        <v>-1.5322190347205709</v>
      </c>
      <c r="F371" s="304">
        <f t="shared" ca="1" si="155"/>
        <v>1.6439304492148898</v>
      </c>
      <c r="G371" s="306">
        <f t="shared" ca="1" si="156"/>
        <v>3.7528082072369795</v>
      </c>
      <c r="H371" s="307">
        <f t="shared" ca="1" si="157"/>
        <v>-52.152991775844477</v>
      </c>
      <c r="I371" s="304">
        <f t="shared" ca="1" si="158"/>
        <v>52.287839127387997</v>
      </c>
      <c r="J371" s="306">
        <f t="shared" ca="1" si="159"/>
        <v>150.09587023194715</v>
      </c>
      <c r="K371" s="307">
        <f t="shared" ca="1" si="160"/>
        <v>-2.9597489108503887</v>
      </c>
      <c r="L371" s="304">
        <f t="shared" ca="1" si="145"/>
        <v>150.12504912339179</v>
      </c>
      <c r="M371" s="306">
        <f t="shared" ca="1" si="161"/>
        <v>-1.4989624607514442</v>
      </c>
      <c r="N371" s="304">
        <f t="shared" ca="1" si="162"/>
        <v>-85.884222649602066</v>
      </c>
      <c r="P371" s="310">
        <f t="shared" ca="1" si="163"/>
        <v>23</v>
      </c>
      <c r="Q371" s="304">
        <f t="shared" ca="1" si="164"/>
        <v>0</v>
      </c>
      <c r="R371" s="306">
        <f t="shared" ca="1" si="165"/>
        <v>0</v>
      </c>
      <c r="S371" s="307">
        <f t="shared" ca="1" si="166"/>
        <v>0.4270000000000001</v>
      </c>
      <c r="T371" s="304">
        <f t="shared" ca="1" si="146"/>
        <v>4.1888700000000014</v>
      </c>
      <c r="U371" s="311">
        <f t="shared" ca="1" si="147"/>
        <v>0</v>
      </c>
      <c r="V371" s="306">
        <f t="shared" ca="1" si="148"/>
        <v>1.2253626229052166</v>
      </c>
      <c r="W371" s="304">
        <f t="shared" ca="1" si="149"/>
        <v>3.5437739327071869</v>
      </c>
      <c r="Y371" s="314" t="str">
        <f t="shared" ca="1" si="167"/>
        <v/>
      </c>
      <c r="Z371" s="315" t="str">
        <f t="shared" ca="1" si="168"/>
        <v/>
      </c>
      <c r="AA371" s="316" t="str">
        <f t="shared" ca="1" si="169"/>
        <v/>
      </c>
      <c r="AC371" s="310" t="e">
        <f t="shared" ca="1" si="170"/>
        <v>#N/A</v>
      </c>
      <c r="AD371" s="323" t="e">
        <f t="shared" ca="1" si="171"/>
        <v>#N/A</v>
      </c>
      <c r="AE371" s="324" t="e">
        <f t="shared" ca="1" si="150"/>
        <v>#N/A</v>
      </c>
      <c r="AG371" s="306">
        <f t="shared" ca="1" si="172"/>
        <v>1.4855147306837555</v>
      </c>
      <c r="AH371" s="304">
        <f t="shared" ca="1" si="173"/>
        <v>-8.299184891339527</v>
      </c>
    </row>
    <row r="372" spans="1:34" x14ac:dyDescent="0.3">
      <c r="A372" s="347">
        <f t="shared" ca="1" si="151"/>
        <v>1E-4</v>
      </c>
      <c r="B372" s="304">
        <f t="shared" ca="1" si="152"/>
        <v>16.102699999999956</v>
      </c>
      <c r="D372" s="306">
        <f t="shared" ca="1" si="153"/>
        <v>-0.59565365306332929</v>
      </c>
      <c r="E372" s="307">
        <f t="shared" ca="1" si="154"/>
        <v>-1.5321668803758577</v>
      </c>
      <c r="F372" s="304">
        <f t="shared" ca="1" si="155"/>
        <v>1.6438791390270686</v>
      </c>
      <c r="G372" s="306">
        <f t="shared" ca="1" si="156"/>
        <v>3.7527486418716731</v>
      </c>
      <c r="H372" s="307">
        <f t="shared" ca="1" si="157"/>
        <v>-52.153144992532518</v>
      </c>
      <c r="I372" s="304">
        <f t="shared" ca="1" si="158"/>
        <v>52.287987673854779</v>
      </c>
      <c r="J372" s="306">
        <f t="shared" ca="1" si="159"/>
        <v>150.09587023194715</v>
      </c>
      <c r="K372" s="307">
        <f t="shared" ca="1" si="160"/>
        <v>-2.9649642176888076</v>
      </c>
      <c r="L372" s="304">
        <f t="shared" ca="1" si="145"/>
        <v>150.12515203488618</v>
      </c>
      <c r="M372" s="306">
        <f t="shared" ca="1" si="161"/>
        <v>-1.4989638073022824</v>
      </c>
      <c r="N372" s="304">
        <f t="shared" ca="1" si="162"/>
        <v>-85.884299801281998</v>
      </c>
      <c r="P372" s="310">
        <f t="shared" ca="1" si="163"/>
        <v>23</v>
      </c>
      <c r="Q372" s="304">
        <f t="shared" ca="1" si="164"/>
        <v>0</v>
      </c>
      <c r="R372" s="306">
        <f t="shared" ca="1" si="165"/>
        <v>0</v>
      </c>
      <c r="S372" s="307">
        <f t="shared" ca="1" si="166"/>
        <v>0.4270000000000001</v>
      </c>
      <c r="T372" s="304">
        <f t="shared" ca="1" si="146"/>
        <v>4.1888700000000014</v>
      </c>
      <c r="U372" s="311">
        <f t="shared" ca="1" si="147"/>
        <v>0</v>
      </c>
      <c r="V372" s="306">
        <f t="shared" ca="1" si="148"/>
        <v>1.225363261969604</v>
      </c>
      <c r="W372" s="304">
        <f t="shared" ca="1" si="149"/>
        <v>3.5437959162119741</v>
      </c>
      <c r="Y372" s="314" t="str">
        <f t="shared" ca="1" si="167"/>
        <v/>
      </c>
      <c r="Z372" s="315" t="str">
        <f t="shared" ca="1" si="168"/>
        <v/>
      </c>
      <c r="AA372" s="316" t="str">
        <f t="shared" ca="1" si="169"/>
        <v/>
      </c>
      <c r="AC372" s="310" t="e">
        <f t="shared" ca="1" si="170"/>
        <v>#N/A</v>
      </c>
      <c r="AD372" s="323" t="e">
        <f t="shared" ca="1" si="171"/>
        <v>#N/A</v>
      </c>
      <c r="AE372" s="324" t="e">
        <f t="shared" ca="1" si="150"/>
        <v>#N/A</v>
      </c>
      <c r="AG372" s="306">
        <f t="shared" ca="1" si="172"/>
        <v>1.4854641937745097</v>
      </c>
      <c r="AH372" s="304">
        <f t="shared" ca="1" si="173"/>
        <v>-8.2992363763634334</v>
      </c>
    </row>
    <row r="373" spans="1:34" x14ac:dyDescent="0.3">
      <c r="A373" s="347">
        <f t="shared" ca="1" si="151"/>
        <v>1E-4</v>
      </c>
      <c r="B373" s="304">
        <f t="shared" ca="1" si="152"/>
        <v>16.102799999999956</v>
      </c>
      <c r="D373" s="306">
        <f t="shared" ca="1" si="153"/>
        <v>-0.59564620155806591</v>
      </c>
      <c r="E373" s="307">
        <f t="shared" ca="1" si="154"/>
        <v>-1.532114727456003</v>
      </c>
      <c r="F373" s="304">
        <f t="shared" ca="1" si="155"/>
        <v>1.6438278302541705</v>
      </c>
      <c r="G373" s="306">
        <f t="shared" ca="1" si="156"/>
        <v>3.7526890772515173</v>
      </c>
      <c r="H373" s="307">
        <f t="shared" ca="1" si="157"/>
        <v>-52.15329820400526</v>
      </c>
      <c r="I373" s="304">
        <f t="shared" ca="1" si="158"/>
        <v>52.288136215268004</v>
      </c>
      <c r="J373" s="306">
        <f t="shared" ca="1" si="159"/>
        <v>150.09587023194715</v>
      </c>
      <c r="K373" s="307">
        <f t="shared" ca="1" si="160"/>
        <v>-2.9701795398486346</v>
      </c>
      <c r="L373" s="304">
        <f t="shared" ca="1" si="145"/>
        <v>150.12525512779138</v>
      </c>
      <c r="M373" s="306">
        <f t="shared" ca="1" si="161"/>
        <v>-1.4989651538240976</v>
      </c>
      <c r="N373" s="304">
        <f t="shared" ca="1" si="162"/>
        <v>-85.884376951299018</v>
      </c>
      <c r="P373" s="310">
        <f t="shared" ca="1" si="163"/>
        <v>23</v>
      </c>
      <c r="Q373" s="304">
        <f t="shared" ca="1" si="164"/>
        <v>0</v>
      </c>
      <c r="R373" s="306">
        <f t="shared" ca="1" si="165"/>
        <v>0</v>
      </c>
      <c r="S373" s="307">
        <f t="shared" ca="1" si="166"/>
        <v>0.4270000000000001</v>
      </c>
      <c r="T373" s="304">
        <f t="shared" ca="1" si="146"/>
        <v>4.1888700000000014</v>
      </c>
      <c r="U373" s="311">
        <f t="shared" ca="1" si="147"/>
        <v>0</v>
      </c>
      <c r="V373" s="306">
        <f t="shared" ca="1" si="148"/>
        <v>1.2253639010362021</v>
      </c>
      <c r="W373" s="304">
        <f t="shared" ca="1" si="149"/>
        <v>3.5438178991163527</v>
      </c>
      <c r="Y373" s="314" t="str">
        <f t="shared" ca="1" si="167"/>
        <v/>
      </c>
      <c r="Z373" s="315" t="str">
        <f t="shared" ca="1" si="168"/>
        <v/>
      </c>
      <c r="AA373" s="316" t="str">
        <f t="shared" ca="1" si="169"/>
        <v/>
      </c>
      <c r="AC373" s="310" t="e">
        <f t="shared" ca="1" si="170"/>
        <v>#N/A</v>
      </c>
      <c r="AD373" s="323" t="e">
        <f t="shared" ca="1" si="171"/>
        <v>#N/A</v>
      </c>
      <c r="AE373" s="324" t="e">
        <f t="shared" ca="1" si="150"/>
        <v>#N/A</v>
      </c>
      <c r="AG373" s="306">
        <f t="shared" ca="1" si="172"/>
        <v>1.4854136582332238</v>
      </c>
      <c r="AH373" s="304">
        <f t="shared" ca="1" si="173"/>
        <v>-8.2992878599812023</v>
      </c>
    </row>
    <row r="374" spans="1:34" x14ac:dyDescent="0.3">
      <c r="A374" s="347">
        <f t="shared" ca="1" si="151"/>
        <v>1E-4</v>
      </c>
      <c r="B374" s="304">
        <f t="shared" ca="1" si="152"/>
        <v>16.102899999999956</v>
      </c>
      <c r="D374" s="306">
        <f t="shared" ca="1" si="153"/>
        <v>-0.59563875005276445</v>
      </c>
      <c r="E374" s="307">
        <f t="shared" ca="1" si="154"/>
        <v>-1.5320625759609765</v>
      </c>
      <c r="F374" s="304">
        <f t="shared" ca="1" si="155"/>
        <v>1.6437765228961638</v>
      </c>
      <c r="G374" s="306">
        <f t="shared" ca="1" si="156"/>
        <v>3.7526295133765122</v>
      </c>
      <c r="H374" s="307">
        <f t="shared" ca="1" si="157"/>
        <v>-52.153451410262853</v>
      </c>
      <c r="I374" s="304">
        <f t="shared" ca="1" si="158"/>
        <v>52.288284751627806</v>
      </c>
      <c r="J374" s="306">
        <f t="shared" ca="1" si="159"/>
        <v>150.09587023194715</v>
      </c>
      <c r="K374" s="307">
        <f t="shared" ca="1" si="160"/>
        <v>-2.9753948773293479</v>
      </c>
      <c r="L374" s="304">
        <f t="shared" ca="1" si="145"/>
        <v>150.12535840210859</v>
      </c>
      <c r="M374" s="306">
        <f t="shared" ca="1" si="161"/>
        <v>-1.4989665003168899</v>
      </c>
      <c r="N374" s="304">
        <f t="shared" ca="1" si="162"/>
        <v>-85.884454099653169</v>
      </c>
      <c r="P374" s="310">
        <f t="shared" ca="1" si="163"/>
        <v>23</v>
      </c>
      <c r="Q374" s="304">
        <f t="shared" ca="1" si="164"/>
        <v>0</v>
      </c>
      <c r="R374" s="306">
        <f t="shared" ca="1" si="165"/>
        <v>0</v>
      </c>
      <c r="S374" s="307">
        <f t="shared" ca="1" si="166"/>
        <v>0.4270000000000001</v>
      </c>
      <c r="T374" s="304">
        <f t="shared" ca="1" si="146"/>
        <v>4.1888700000000014</v>
      </c>
      <c r="U374" s="311">
        <f t="shared" ca="1" si="147"/>
        <v>0</v>
      </c>
      <c r="V374" s="306">
        <f t="shared" ca="1" si="148"/>
        <v>1.2253645401050108</v>
      </c>
      <c r="W374" s="304">
        <f t="shared" ca="1" si="149"/>
        <v>3.5438398814203338</v>
      </c>
      <c r="Y374" s="314" t="str">
        <f t="shared" ca="1" si="167"/>
        <v/>
      </c>
      <c r="Z374" s="315" t="str">
        <f t="shared" ca="1" si="168"/>
        <v/>
      </c>
      <c r="AA374" s="316" t="str">
        <f t="shared" ca="1" si="169"/>
        <v/>
      </c>
      <c r="AC374" s="310" t="e">
        <f t="shared" ca="1" si="170"/>
        <v>#N/A</v>
      </c>
      <c r="AD374" s="323" t="e">
        <f t="shared" ca="1" si="171"/>
        <v>#N/A</v>
      </c>
      <c r="AE374" s="324" t="e">
        <f t="shared" ca="1" si="150"/>
        <v>#N/A</v>
      </c>
      <c r="AG374" s="306">
        <f t="shared" ca="1" si="172"/>
        <v>1.4853631240598695</v>
      </c>
      <c r="AH374" s="304">
        <f t="shared" ca="1" si="173"/>
        <v>-8.2993393421928623</v>
      </c>
    </row>
    <row r="375" spans="1:34" x14ac:dyDescent="0.3">
      <c r="A375" s="347">
        <f t="shared" ca="1" si="151"/>
        <v>1E-4</v>
      </c>
      <c r="B375" s="304">
        <f t="shared" ca="1" si="152"/>
        <v>16.102999999999955</v>
      </c>
      <c r="D375" s="306">
        <f t="shared" ca="1" si="153"/>
        <v>-0.59563129854743502</v>
      </c>
      <c r="E375" s="307">
        <f t="shared" ca="1" si="154"/>
        <v>-1.5320104258907534</v>
      </c>
      <c r="F375" s="304">
        <f t="shared" ca="1" si="155"/>
        <v>1.6437252169530256</v>
      </c>
      <c r="G375" s="306">
        <f t="shared" ca="1" si="156"/>
        <v>3.7525699502466576</v>
      </c>
      <c r="H375" s="307">
        <f t="shared" ca="1" si="157"/>
        <v>-52.15360461130544</v>
      </c>
      <c r="I375" s="304">
        <f t="shared" ca="1" si="158"/>
        <v>52.288433282934328</v>
      </c>
      <c r="J375" s="306">
        <f t="shared" ca="1" si="159"/>
        <v>150.09587023194715</v>
      </c>
      <c r="K375" s="307">
        <f t="shared" ca="1" si="160"/>
        <v>-2.9806102301304263</v>
      </c>
      <c r="L375" s="304">
        <f t="shared" ca="1" si="145"/>
        <v>150.12546185783901</v>
      </c>
      <c r="M375" s="306">
        <f t="shared" ca="1" si="161"/>
        <v>-1.4989678467806606</v>
      </c>
      <c r="N375" s="304">
        <f t="shared" ca="1" si="162"/>
        <v>-85.884531246344494</v>
      </c>
      <c r="P375" s="310">
        <f t="shared" ca="1" si="163"/>
        <v>23</v>
      </c>
      <c r="Q375" s="304">
        <f t="shared" ca="1" si="164"/>
        <v>0</v>
      </c>
      <c r="R375" s="306">
        <f t="shared" ca="1" si="165"/>
        <v>0</v>
      </c>
      <c r="S375" s="307">
        <f t="shared" ca="1" si="166"/>
        <v>0.4270000000000001</v>
      </c>
      <c r="T375" s="304">
        <f t="shared" ca="1" si="146"/>
        <v>4.1888700000000014</v>
      </c>
      <c r="U375" s="311">
        <f t="shared" ca="1" si="147"/>
        <v>0</v>
      </c>
      <c r="V375" s="306">
        <f t="shared" ca="1" si="148"/>
        <v>1.2253651791760303</v>
      </c>
      <c r="W375" s="304">
        <f t="shared" ca="1" si="149"/>
        <v>3.5438618631239303</v>
      </c>
      <c r="Y375" s="314" t="str">
        <f t="shared" ca="1" si="167"/>
        <v/>
      </c>
      <c r="Z375" s="315" t="str">
        <f t="shared" ca="1" si="168"/>
        <v/>
      </c>
      <c r="AA375" s="316" t="str">
        <f t="shared" ca="1" si="169"/>
        <v/>
      </c>
      <c r="AC375" s="310" t="e">
        <f t="shared" ca="1" si="170"/>
        <v>#N/A</v>
      </c>
      <c r="AD375" s="323" t="e">
        <f t="shared" ca="1" si="171"/>
        <v>#N/A</v>
      </c>
      <c r="AE375" s="324" t="e">
        <f t="shared" ca="1" si="150"/>
        <v>#N/A</v>
      </c>
      <c r="AG375" s="306">
        <f t="shared" ca="1" si="172"/>
        <v>1.4853125912544272</v>
      </c>
      <c r="AH375" s="304">
        <f t="shared" ca="1" si="173"/>
        <v>-8.2993908229984381</v>
      </c>
    </row>
    <row r="376" spans="1:34" x14ac:dyDescent="0.3">
      <c r="A376" s="347">
        <f t="shared" ca="1" si="151"/>
        <v>1E-4</v>
      </c>
      <c r="B376" s="304">
        <f t="shared" ca="1" si="152"/>
        <v>16.103099999999955</v>
      </c>
      <c r="D376" s="306">
        <f t="shared" ca="1" si="153"/>
        <v>-0.59562384704208093</v>
      </c>
      <c r="E376" s="307">
        <f t="shared" ca="1" si="154"/>
        <v>-1.5319582772453018</v>
      </c>
      <c r="F376" s="304">
        <f t="shared" ca="1" si="155"/>
        <v>1.6436739124247246</v>
      </c>
      <c r="G376" s="306">
        <f t="shared" ca="1" si="156"/>
        <v>3.7525103878619532</v>
      </c>
      <c r="H376" s="307">
        <f t="shared" ca="1" si="157"/>
        <v>-52.153757807133161</v>
      </c>
      <c r="I376" s="304">
        <f t="shared" ca="1" si="158"/>
        <v>52.288581809187704</v>
      </c>
      <c r="J376" s="306">
        <f t="shared" ca="1" si="159"/>
        <v>150.09587023194715</v>
      </c>
      <c r="K376" s="307">
        <f t="shared" ca="1" si="160"/>
        <v>-2.9858255982513482</v>
      </c>
      <c r="L376" s="304">
        <f t="shared" ca="1" si="145"/>
        <v>150.12556549498387</v>
      </c>
      <c r="M376" s="306">
        <f t="shared" ca="1" si="161"/>
        <v>-1.4989691932154106</v>
      </c>
      <c r="N376" s="304">
        <f t="shared" ca="1" si="162"/>
        <v>-85.884608391373064</v>
      </c>
      <c r="P376" s="310">
        <f t="shared" ca="1" si="163"/>
        <v>23</v>
      </c>
      <c r="Q376" s="304">
        <f t="shared" ca="1" si="164"/>
        <v>0</v>
      </c>
      <c r="R376" s="306">
        <f t="shared" ca="1" si="165"/>
        <v>0</v>
      </c>
      <c r="S376" s="307">
        <f t="shared" ca="1" si="166"/>
        <v>0.4270000000000001</v>
      </c>
      <c r="T376" s="304">
        <f t="shared" ca="1" si="146"/>
        <v>4.1888700000000014</v>
      </c>
      <c r="U376" s="311">
        <f t="shared" ca="1" si="147"/>
        <v>0</v>
      </c>
      <c r="V376" s="306">
        <f t="shared" ca="1" si="148"/>
        <v>1.2253658182492606</v>
      </c>
      <c r="W376" s="304">
        <f t="shared" ca="1" si="149"/>
        <v>3.5438838442271554</v>
      </c>
      <c r="Y376" s="314" t="str">
        <f t="shared" ca="1" si="167"/>
        <v/>
      </c>
      <c r="Z376" s="315" t="str">
        <f t="shared" ca="1" si="168"/>
        <v/>
      </c>
      <c r="AA376" s="316" t="str">
        <f t="shared" ca="1" si="169"/>
        <v/>
      </c>
      <c r="AC376" s="310" t="e">
        <f t="shared" ca="1" si="170"/>
        <v>#N/A</v>
      </c>
      <c r="AD376" s="323" t="e">
        <f t="shared" ca="1" si="171"/>
        <v>#N/A</v>
      </c>
      <c r="AE376" s="324" t="e">
        <f t="shared" ca="1" si="150"/>
        <v>#N/A</v>
      </c>
      <c r="AG376" s="306">
        <f t="shared" ca="1" si="172"/>
        <v>1.4852620598168649</v>
      </c>
      <c r="AH376" s="304">
        <f t="shared" ca="1" si="173"/>
        <v>-8.2994423023979618</v>
      </c>
    </row>
    <row r="377" spans="1:34" x14ac:dyDescent="0.3">
      <c r="A377" s="347">
        <f t="shared" ca="1" si="151"/>
        <v>1E-4</v>
      </c>
      <c r="B377" s="304">
        <f t="shared" ca="1" si="152"/>
        <v>16.103199999999955</v>
      </c>
      <c r="D377" s="306">
        <f t="shared" ca="1" si="153"/>
        <v>-0.59561639553670742</v>
      </c>
      <c r="E377" s="307">
        <f t="shared" ca="1" si="154"/>
        <v>-1.5319061300245913</v>
      </c>
      <c r="F377" s="304">
        <f t="shared" ca="1" si="155"/>
        <v>1.6436226093112309</v>
      </c>
      <c r="G377" s="306">
        <f t="shared" ca="1" si="156"/>
        <v>3.7524508262223994</v>
      </c>
      <c r="H377" s="307">
        <f t="shared" ca="1" si="157"/>
        <v>-52.153910997746166</v>
      </c>
      <c r="I377" s="304">
        <f t="shared" ca="1" si="158"/>
        <v>52.28873033038807</v>
      </c>
      <c r="J377" s="306">
        <f t="shared" ca="1" si="159"/>
        <v>150.09587023194715</v>
      </c>
      <c r="K377" s="307">
        <f t="shared" ca="1" si="160"/>
        <v>-2.9910409816915919</v>
      </c>
      <c r="L377" s="304">
        <f t="shared" ca="1" si="145"/>
        <v>150.12566931354436</v>
      </c>
      <c r="M377" s="306">
        <f t="shared" ca="1" si="161"/>
        <v>-1.4989705396211404</v>
      </c>
      <c r="N377" s="304">
        <f t="shared" ca="1" si="162"/>
        <v>-85.884685534738892</v>
      </c>
      <c r="P377" s="310">
        <f t="shared" ca="1" si="163"/>
        <v>23</v>
      </c>
      <c r="Q377" s="304">
        <f t="shared" ca="1" si="164"/>
        <v>0</v>
      </c>
      <c r="R377" s="306">
        <f t="shared" ca="1" si="165"/>
        <v>0</v>
      </c>
      <c r="S377" s="307">
        <f t="shared" ca="1" si="166"/>
        <v>0.4270000000000001</v>
      </c>
      <c r="T377" s="304">
        <f t="shared" ca="1" si="146"/>
        <v>4.1888700000000014</v>
      </c>
      <c r="U377" s="311">
        <f t="shared" ca="1" si="147"/>
        <v>0</v>
      </c>
      <c r="V377" s="306">
        <f t="shared" ca="1" si="148"/>
        <v>1.225366457324701</v>
      </c>
      <c r="W377" s="304">
        <f t="shared" ca="1" si="149"/>
        <v>3.5439058247300159</v>
      </c>
      <c r="Y377" s="314" t="str">
        <f t="shared" ca="1" si="167"/>
        <v/>
      </c>
      <c r="Z377" s="315" t="str">
        <f t="shared" ca="1" si="168"/>
        <v/>
      </c>
      <c r="AA377" s="316" t="str">
        <f t="shared" ca="1" si="169"/>
        <v/>
      </c>
      <c r="AC377" s="310" t="e">
        <f t="shared" ca="1" si="170"/>
        <v>#N/A</v>
      </c>
      <c r="AD377" s="323" t="e">
        <f t="shared" ca="1" si="171"/>
        <v>#N/A</v>
      </c>
      <c r="AE377" s="324" t="e">
        <f t="shared" ca="1" si="150"/>
        <v>#N/A</v>
      </c>
      <c r="AG377" s="306">
        <f t="shared" ca="1" si="172"/>
        <v>1.4852115297471524</v>
      </c>
      <c r="AH377" s="304">
        <f t="shared" ca="1" si="173"/>
        <v>-8.2994937803914635</v>
      </c>
    </row>
    <row r="378" spans="1:34" x14ac:dyDescent="0.3">
      <c r="A378" s="347">
        <f t="shared" ca="1" si="151"/>
        <v>1E-4</v>
      </c>
      <c r="B378" s="304">
        <f t="shared" ca="1" si="152"/>
        <v>16.103299999999955</v>
      </c>
      <c r="D378" s="306">
        <f t="shared" ca="1" si="153"/>
        <v>-0.59560894403131981</v>
      </c>
      <c r="E378" s="307">
        <f t="shared" ca="1" si="154"/>
        <v>-1.5318539842286061</v>
      </c>
      <c r="F378" s="304">
        <f t="shared" ca="1" si="155"/>
        <v>1.6435713076125291</v>
      </c>
      <c r="G378" s="306">
        <f t="shared" ca="1" si="156"/>
        <v>3.7523912653279963</v>
      </c>
      <c r="H378" s="307">
        <f t="shared" ca="1" si="157"/>
        <v>-52.154064183144591</v>
      </c>
      <c r="I378" s="304">
        <f t="shared" ca="1" si="158"/>
        <v>52.288878846535574</v>
      </c>
      <c r="J378" s="306">
        <f t="shared" ca="1" si="159"/>
        <v>150.09587023194715</v>
      </c>
      <c r="K378" s="307">
        <f t="shared" ca="1" si="160"/>
        <v>-2.9962563804506366</v>
      </c>
      <c r="L378" s="304">
        <f t="shared" ca="1" si="145"/>
        <v>150.12577331352171</v>
      </c>
      <c r="M378" s="306">
        <f t="shared" ca="1" si="161"/>
        <v>-1.4989718859978509</v>
      </c>
      <c r="N378" s="304">
        <f t="shared" ca="1" si="162"/>
        <v>-85.884762676442037</v>
      </c>
      <c r="P378" s="310">
        <f t="shared" ca="1" si="163"/>
        <v>23</v>
      </c>
      <c r="Q378" s="304">
        <f t="shared" ca="1" si="164"/>
        <v>0</v>
      </c>
      <c r="R378" s="306">
        <f t="shared" ca="1" si="165"/>
        <v>0</v>
      </c>
      <c r="S378" s="307">
        <f t="shared" ca="1" si="166"/>
        <v>0.4270000000000001</v>
      </c>
      <c r="T378" s="304">
        <f t="shared" ca="1" si="146"/>
        <v>4.1888700000000014</v>
      </c>
      <c r="U378" s="311">
        <f t="shared" ca="1" si="147"/>
        <v>0</v>
      </c>
      <c r="V378" s="306">
        <f t="shared" ca="1" si="148"/>
        <v>1.2253670964023522</v>
      </c>
      <c r="W378" s="304">
        <f t="shared" ca="1" si="149"/>
        <v>3.5439278046325291</v>
      </c>
      <c r="Y378" s="314" t="str">
        <f t="shared" ca="1" si="167"/>
        <v/>
      </c>
      <c r="Z378" s="315" t="str">
        <f t="shared" ca="1" si="168"/>
        <v/>
      </c>
      <c r="AA378" s="316" t="str">
        <f t="shared" ca="1" si="169"/>
        <v/>
      </c>
      <c r="AC378" s="310" t="e">
        <f t="shared" ca="1" si="170"/>
        <v>#N/A</v>
      </c>
      <c r="AD378" s="323" t="e">
        <f t="shared" ca="1" si="171"/>
        <v>#N/A</v>
      </c>
      <c r="AE378" s="324" t="e">
        <f t="shared" ca="1" si="150"/>
        <v>#N/A</v>
      </c>
      <c r="AG378" s="306">
        <f t="shared" ca="1" si="172"/>
        <v>1.4851610010452809</v>
      </c>
      <c r="AH378" s="304">
        <f t="shared" ca="1" si="173"/>
        <v>-8.2995452569789574</v>
      </c>
    </row>
    <row r="379" spans="1:34" x14ac:dyDescent="0.3">
      <c r="A379" s="347">
        <f t="shared" ca="1" si="151"/>
        <v>1E-4</v>
      </c>
      <c r="B379" s="304">
        <f t="shared" ca="1" si="152"/>
        <v>16.103399999999954</v>
      </c>
      <c r="D379" s="306">
        <f t="shared" ca="1" si="153"/>
        <v>-0.59560149252592454</v>
      </c>
      <c r="E379" s="307">
        <f t="shared" ca="1" si="154"/>
        <v>-1.5318018398573034</v>
      </c>
      <c r="F379" s="304">
        <f t="shared" ca="1" si="155"/>
        <v>1.6435200073285778</v>
      </c>
      <c r="G379" s="306">
        <f t="shared" ca="1" si="156"/>
        <v>3.7523317051787437</v>
      </c>
      <c r="H379" s="307">
        <f t="shared" ca="1" si="157"/>
        <v>-52.154217363328577</v>
      </c>
      <c r="I379" s="304">
        <f t="shared" ca="1" si="158"/>
        <v>52.289027357630331</v>
      </c>
      <c r="J379" s="306">
        <f t="shared" ca="1" si="159"/>
        <v>150.09587023194715</v>
      </c>
      <c r="K379" s="307">
        <f t="shared" ca="1" si="160"/>
        <v>-3.0014717945279603</v>
      </c>
      <c r="L379" s="304">
        <f t="shared" ca="1" si="145"/>
        <v>150.12587749491712</v>
      </c>
      <c r="M379" s="306">
        <f t="shared" ca="1" si="161"/>
        <v>-1.4989732323455434</v>
      </c>
      <c r="N379" s="304">
        <f t="shared" ca="1" si="162"/>
        <v>-85.884839816482568</v>
      </c>
      <c r="P379" s="310">
        <f t="shared" ca="1" si="163"/>
        <v>23</v>
      </c>
      <c r="Q379" s="304">
        <f t="shared" ca="1" si="164"/>
        <v>0</v>
      </c>
      <c r="R379" s="306">
        <f t="shared" ca="1" si="165"/>
        <v>0</v>
      </c>
      <c r="S379" s="307">
        <f t="shared" ca="1" si="166"/>
        <v>0.4270000000000001</v>
      </c>
      <c r="T379" s="304">
        <f t="shared" ca="1" si="146"/>
        <v>4.1888700000000014</v>
      </c>
      <c r="U379" s="311">
        <f t="shared" ca="1" si="147"/>
        <v>0</v>
      </c>
      <c r="V379" s="306">
        <f t="shared" ca="1" si="148"/>
        <v>1.2253677354822134</v>
      </c>
      <c r="W379" s="304">
        <f t="shared" ca="1" si="149"/>
        <v>3.5439497839347021</v>
      </c>
      <c r="Y379" s="314" t="str">
        <f t="shared" ca="1" si="167"/>
        <v/>
      </c>
      <c r="Z379" s="315" t="str">
        <f t="shared" ca="1" si="168"/>
        <v/>
      </c>
      <c r="AA379" s="316" t="str">
        <f t="shared" ca="1" si="169"/>
        <v/>
      </c>
      <c r="AC379" s="310" t="e">
        <f t="shared" ca="1" si="170"/>
        <v>#N/A</v>
      </c>
      <c r="AD379" s="323" t="e">
        <f t="shared" ca="1" si="171"/>
        <v>#N/A</v>
      </c>
      <c r="AE379" s="324" t="e">
        <f t="shared" ca="1" si="150"/>
        <v>#N/A</v>
      </c>
      <c r="AG379" s="306">
        <f t="shared" ca="1" si="172"/>
        <v>1.4851104737112024</v>
      </c>
      <c r="AH379" s="304">
        <f t="shared" ca="1" si="173"/>
        <v>-8.299596732160488</v>
      </c>
    </row>
    <row r="380" spans="1:34" x14ac:dyDescent="0.3">
      <c r="A380" s="347">
        <f t="shared" ca="1" si="151"/>
        <v>1E-4</v>
      </c>
      <c r="B380" s="304">
        <f t="shared" ca="1" si="152"/>
        <v>16.103499999999954</v>
      </c>
      <c r="D380" s="306">
        <f t="shared" ca="1" si="153"/>
        <v>-0.59559404102052327</v>
      </c>
      <c r="E380" s="307">
        <f t="shared" ca="1" si="154"/>
        <v>-1.5317496969106674</v>
      </c>
      <c r="F380" s="304">
        <f t="shared" ca="1" si="155"/>
        <v>1.6434687084593604</v>
      </c>
      <c r="G380" s="306">
        <f t="shared" ca="1" si="156"/>
        <v>3.7522721457746417</v>
      </c>
      <c r="H380" s="307">
        <f t="shared" ca="1" si="157"/>
        <v>-52.154370538298267</v>
      </c>
      <c r="I380" s="304">
        <f t="shared" ca="1" si="158"/>
        <v>52.289175863672497</v>
      </c>
      <c r="J380" s="306">
        <f t="shared" ca="1" si="159"/>
        <v>150.09587023194715</v>
      </c>
      <c r="K380" s="307">
        <f t="shared" ca="1" si="160"/>
        <v>-3.0066872239230418</v>
      </c>
      <c r="L380" s="304">
        <f t="shared" ca="1" si="145"/>
        <v>150.1259818577318</v>
      </c>
      <c r="M380" s="306">
        <f t="shared" ca="1" si="161"/>
        <v>-1.4989745786642179</v>
      </c>
      <c r="N380" s="304">
        <f t="shared" ca="1" si="162"/>
        <v>-85.8849169548605</v>
      </c>
      <c r="P380" s="310">
        <f t="shared" ca="1" si="163"/>
        <v>23</v>
      </c>
      <c r="Q380" s="304">
        <f t="shared" ca="1" si="164"/>
        <v>0</v>
      </c>
      <c r="R380" s="306">
        <f t="shared" ca="1" si="165"/>
        <v>0</v>
      </c>
      <c r="S380" s="307">
        <f t="shared" ca="1" si="166"/>
        <v>0.4270000000000001</v>
      </c>
      <c r="T380" s="304">
        <f t="shared" ca="1" si="146"/>
        <v>4.1888700000000014</v>
      </c>
      <c r="U380" s="311">
        <f t="shared" ca="1" si="147"/>
        <v>0</v>
      </c>
      <c r="V380" s="306">
        <f t="shared" ca="1" si="148"/>
        <v>1.2253683745642854</v>
      </c>
      <c r="W380" s="304">
        <f t="shared" ca="1" si="149"/>
        <v>3.5439717626365494</v>
      </c>
      <c r="Y380" s="314" t="str">
        <f t="shared" ca="1" si="167"/>
        <v/>
      </c>
      <c r="Z380" s="315" t="str">
        <f t="shared" ca="1" si="168"/>
        <v/>
      </c>
      <c r="AA380" s="316" t="str">
        <f t="shared" ca="1" si="169"/>
        <v/>
      </c>
      <c r="AC380" s="310" t="e">
        <f t="shared" ca="1" si="170"/>
        <v>#N/A</v>
      </c>
      <c r="AD380" s="323" t="e">
        <f t="shared" ca="1" si="171"/>
        <v>#N/A</v>
      </c>
      <c r="AE380" s="324" t="e">
        <f t="shared" ca="1" si="150"/>
        <v>#N/A</v>
      </c>
      <c r="AG380" s="306">
        <f t="shared" ca="1" si="172"/>
        <v>1.4850599477449116</v>
      </c>
      <c r="AH380" s="304">
        <f t="shared" ca="1" si="173"/>
        <v>-8.2996482059360677</v>
      </c>
    </row>
    <row r="381" spans="1:34" x14ac:dyDescent="0.3">
      <c r="A381" s="347">
        <f t="shared" ca="1" si="151"/>
        <v>1E-4</v>
      </c>
      <c r="B381" s="304">
        <f t="shared" ca="1" si="152"/>
        <v>16.103599999999954</v>
      </c>
      <c r="D381" s="306">
        <f t="shared" ca="1" si="153"/>
        <v>-0.59558658951512711</v>
      </c>
      <c r="E381" s="307">
        <f t="shared" ca="1" si="154"/>
        <v>-1.5316975553886643</v>
      </c>
      <c r="F381" s="304">
        <f t="shared" ca="1" si="155"/>
        <v>1.6434174110048458</v>
      </c>
      <c r="G381" s="306">
        <f t="shared" ca="1" si="156"/>
        <v>3.7522125871156904</v>
      </c>
      <c r="H381" s="307">
        <f t="shared" ca="1" si="157"/>
        <v>-52.154523708053809</v>
      </c>
      <c r="I381" s="304">
        <f t="shared" ca="1" si="158"/>
        <v>52.289324364662207</v>
      </c>
      <c r="J381" s="306">
        <f t="shared" ca="1" si="159"/>
        <v>150.09587023194715</v>
      </c>
      <c r="K381" s="307">
        <f t="shared" ca="1" si="160"/>
        <v>-3.0119026686353592</v>
      </c>
      <c r="L381" s="304">
        <f t="shared" ca="1" si="145"/>
        <v>150.12608640196697</v>
      </c>
      <c r="M381" s="306">
        <f t="shared" ca="1" si="161"/>
        <v>-1.4989759249538761</v>
      </c>
      <c r="N381" s="304">
        <f t="shared" ca="1" si="162"/>
        <v>-85.884994091575919</v>
      </c>
      <c r="P381" s="310">
        <f t="shared" ca="1" si="163"/>
        <v>23</v>
      </c>
      <c r="Q381" s="304">
        <f t="shared" ca="1" si="164"/>
        <v>0</v>
      </c>
      <c r="R381" s="306">
        <f t="shared" ca="1" si="165"/>
        <v>0</v>
      </c>
      <c r="S381" s="307">
        <f t="shared" ca="1" si="166"/>
        <v>0.4270000000000001</v>
      </c>
      <c r="T381" s="304">
        <f t="shared" ca="1" si="146"/>
        <v>4.1888700000000014</v>
      </c>
      <c r="U381" s="311">
        <f t="shared" ca="1" si="147"/>
        <v>0</v>
      </c>
      <c r="V381" s="306">
        <f t="shared" ca="1" si="148"/>
        <v>1.2253690136485678</v>
      </c>
      <c r="W381" s="304">
        <f t="shared" ca="1" si="149"/>
        <v>3.5439937407380828</v>
      </c>
      <c r="Y381" s="314" t="str">
        <f t="shared" ca="1" si="167"/>
        <v/>
      </c>
      <c r="Z381" s="315" t="str">
        <f t="shared" ca="1" si="168"/>
        <v/>
      </c>
      <c r="AA381" s="316" t="str">
        <f t="shared" ca="1" si="169"/>
        <v/>
      </c>
      <c r="AC381" s="310" t="e">
        <f t="shared" ca="1" si="170"/>
        <v>#N/A</v>
      </c>
      <c r="AD381" s="323" t="e">
        <f t="shared" ca="1" si="171"/>
        <v>#N/A</v>
      </c>
      <c r="AE381" s="324" t="e">
        <f t="shared" ca="1" si="150"/>
        <v>#N/A</v>
      </c>
      <c r="AG381" s="306">
        <f t="shared" ca="1" si="172"/>
        <v>1.4850094231463711</v>
      </c>
      <c r="AH381" s="304">
        <f t="shared" ca="1" si="173"/>
        <v>-8.2996996783057337</v>
      </c>
    </row>
    <row r="382" spans="1:34" x14ac:dyDescent="0.3">
      <c r="A382" s="347">
        <f t="shared" ca="1" si="151"/>
        <v>1E-4</v>
      </c>
      <c r="B382" s="304">
        <f t="shared" ca="1" si="152"/>
        <v>16.103699999999954</v>
      </c>
      <c r="D382" s="306">
        <f t="shared" ca="1" si="153"/>
        <v>-0.59557913800973528</v>
      </c>
      <c r="E382" s="307">
        <f t="shared" ca="1" si="154"/>
        <v>-1.531645415291262</v>
      </c>
      <c r="F382" s="304">
        <f t="shared" ca="1" si="155"/>
        <v>1.6433661149650012</v>
      </c>
      <c r="G382" s="306">
        <f t="shared" ca="1" si="156"/>
        <v>3.7521530292018892</v>
      </c>
      <c r="H382" s="307">
        <f t="shared" ca="1" si="157"/>
        <v>-52.154676872595338</v>
      </c>
      <c r="I382" s="304">
        <f t="shared" ca="1" si="158"/>
        <v>52.289472860599581</v>
      </c>
      <c r="J382" s="306">
        <f t="shared" ca="1" si="159"/>
        <v>150.09587023194715</v>
      </c>
      <c r="K382" s="307">
        <f t="shared" ca="1" si="160"/>
        <v>-3.0171181286643916</v>
      </c>
      <c r="L382" s="304">
        <f t="shared" ca="1" si="145"/>
        <v>150.1261911276238</v>
      </c>
      <c r="M382" s="306">
        <f t="shared" ca="1" si="161"/>
        <v>-1.4989772712145182</v>
      </c>
      <c r="N382" s="304">
        <f t="shared" ca="1" si="162"/>
        <v>-85.885071226628838</v>
      </c>
      <c r="P382" s="310">
        <f t="shared" ca="1" si="163"/>
        <v>23</v>
      </c>
      <c r="Q382" s="304">
        <f t="shared" ca="1" si="164"/>
        <v>0</v>
      </c>
      <c r="R382" s="306">
        <f t="shared" ca="1" si="165"/>
        <v>0</v>
      </c>
      <c r="S382" s="307">
        <f t="shared" ca="1" si="166"/>
        <v>0.4270000000000001</v>
      </c>
      <c r="T382" s="304">
        <f t="shared" ca="1" si="146"/>
        <v>4.1888700000000014</v>
      </c>
      <c r="U382" s="311">
        <f t="shared" ca="1" si="147"/>
        <v>0</v>
      </c>
      <c r="V382" s="306">
        <f t="shared" ca="1" si="148"/>
        <v>1.2253696527350599</v>
      </c>
      <c r="W382" s="304">
        <f t="shared" ca="1" si="149"/>
        <v>3.5440157182393115</v>
      </c>
      <c r="Y382" s="314" t="str">
        <f t="shared" ca="1" si="167"/>
        <v/>
      </c>
      <c r="Z382" s="315" t="str">
        <f t="shared" ca="1" si="168"/>
        <v/>
      </c>
      <c r="AA382" s="316" t="str">
        <f t="shared" ca="1" si="169"/>
        <v/>
      </c>
      <c r="AC382" s="310" t="e">
        <f t="shared" ca="1" si="170"/>
        <v>#N/A</v>
      </c>
      <c r="AD382" s="323" t="e">
        <f t="shared" ca="1" si="171"/>
        <v>#N/A</v>
      </c>
      <c r="AE382" s="324" t="e">
        <f t="shared" ca="1" si="150"/>
        <v>#N/A</v>
      </c>
      <c r="AG382" s="306">
        <f t="shared" ca="1" si="172"/>
        <v>1.4849588999155579</v>
      </c>
      <c r="AH382" s="304">
        <f t="shared" ca="1" si="173"/>
        <v>-8.2997511492695129</v>
      </c>
    </row>
    <row r="383" spans="1:34" x14ac:dyDescent="0.3">
      <c r="A383" s="347">
        <f t="shared" ca="1" si="151"/>
        <v>1E-4</v>
      </c>
      <c r="B383" s="304">
        <f t="shared" ca="1" si="152"/>
        <v>16.103799999999953</v>
      </c>
      <c r="D383" s="306">
        <f t="shared" ca="1" si="153"/>
        <v>-0.59557168650435754</v>
      </c>
      <c r="E383" s="307">
        <f t="shared" ca="1" si="154"/>
        <v>-1.5315932766184464</v>
      </c>
      <c r="F383" s="304">
        <f t="shared" ca="1" si="155"/>
        <v>1.6433148203398136</v>
      </c>
      <c r="G383" s="306">
        <f t="shared" ca="1" si="156"/>
        <v>3.7520934720332386</v>
      </c>
      <c r="H383" s="307">
        <f t="shared" ca="1" si="157"/>
        <v>-52.154830031922998</v>
      </c>
      <c r="I383" s="304">
        <f t="shared" ca="1" si="158"/>
        <v>52.289621351484762</v>
      </c>
      <c r="J383" s="306">
        <f t="shared" ca="1" si="159"/>
        <v>150.09587023194715</v>
      </c>
      <c r="K383" s="307">
        <f t="shared" ca="1" si="160"/>
        <v>-3.0223336040096176</v>
      </c>
      <c r="L383" s="304">
        <f t="shared" ca="1" si="145"/>
        <v>150.12629603470353</v>
      </c>
      <c r="M383" s="306">
        <f t="shared" ca="1" si="161"/>
        <v>-1.4989786174461455</v>
      </c>
      <c r="N383" s="304">
        <f t="shared" ca="1" si="162"/>
        <v>-85.885148360019329</v>
      </c>
      <c r="P383" s="310">
        <f t="shared" ca="1" si="163"/>
        <v>23</v>
      </c>
      <c r="Q383" s="304">
        <f t="shared" ca="1" si="164"/>
        <v>0</v>
      </c>
      <c r="R383" s="306">
        <f t="shared" ca="1" si="165"/>
        <v>0</v>
      </c>
      <c r="S383" s="307">
        <f t="shared" ca="1" si="166"/>
        <v>0.4270000000000001</v>
      </c>
      <c r="T383" s="304">
        <f t="shared" ca="1" si="146"/>
        <v>4.1888700000000014</v>
      </c>
      <c r="U383" s="311">
        <f t="shared" ca="1" si="147"/>
        <v>0</v>
      </c>
      <c r="V383" s="306">
        <f t="shared" ca="1" si="148"/>
        <v>1.2253702918237626</v>
      </c>
      <c r="W383" s="304">
        <f t="shared" ca="1" si="149"/>
        <v>3.5440376951402466</v>
      </c>
      <c r="Y383" s="314" t="str">
        <f t="shared" ca="1" si="167"/>
        <v/>
      </c>
      <c r="Z383" s="315" t="str">
        <f t="shared" ca="1" si="168"/>
        <v/>
      </c>
      <c r="AA383" s="316" t="str">
        <f t="shared" ca="1" si="169"/>
        <v/>
      </c>
      <c r="AC383" s="310" t="e">
        <f t="shared" ca="1" si="170"/>
        <v>#N/A</v>
      </c>
      <c r="AD383" s="323" t="e">
        <f t="shared" ca="1" si="171"/>
        <v>#N/A</v>
      </c>
      <c r="AE383" s="324" t="e">
        <f t="shared" ca="1" si="150"/>
        <v>#N/A</v>
      </c>
      <c r="AG383" s="306">
        <f t="shared" ca="1" si="172"/>
        <v>1.484908378052447</v>
      </c>
      <c r="AH383" s="304">
        <f t="shared" ca="1" si="173"/>
        <v>-8.2998026188274245</v>
      </c>
    </row>
    <row r="384" spans="1:34" x14ac:dyDescent="0.3">
      <c r="A384" s="347">
        <f t="shared" ca="1" si="151"/>
        <v>1E-4</v>
      </c>
      <c r="B384" s="304">
        <f t="shared" ca="1" si="152"/>
        <v>16.103899999999953</v>
      </c>
      <c r="D384" s="306">
        <f t="shared" ca="1" si="153"/>
        <v>-0.59556423499899536</v>
      </c>
      <c r="E384" s="307">
        <f t="shared" ca="1" si="154"/>
        <v>-1.5315411393701819</v>
      </c>
      <c r="F384" s="304">
        <f t="shared" ca="1" si="155"/>
        <v>1.6432635271292471</v>
      </c>
      <c r="G384" s="306">
        <f t="shared" ca="1" si="156"/>
        <v>3.7520339156097386</v>
      </c>
      <c r="H384" s="307">
        <f t="shared" ca="1" si="157"/>
        <v>-52.154983186036937</v>
      </c>
      <c r="I384" s="304">
        <f t="shared" ca="1" si="158"/>
        <v>52.289769837317905</v>
      </c>
      <c r="J384" s="306">
        <f t="shared" ca="1" si="159"/>
        <v>150.09587023194715</v>
      </c>
      <c r="K384" s="307">
        <f t="shared" ca="1" si="160"/>
        <v>-3.0275490946705155</v>
      </c>
      <c r="L384" s="304">
        <f t="shared" ca="1" si="145"/>
        <v>150.12640112320736</v>
      </c>
      <c r="M384" s="306">
        <f t="shared" ca="1" si="161"/>
        <v>-1.4989799636487584</v>
      </c>
      <c r="N384" s="304">
        <f t="shared" ca="1" si="162"/>
        <v>-85.88522549174742</v>
      </c>
      <c r="P384" s="310">
        <f t="shared" ca="1" si="163"/>
        <v>23</v>
      </c>
      <c r="Q384" s="304">
        <f t="shared" ca="1" si="164"/>
        <v>0</v>
      </c>
      <c r="R384" s="306">
        <f t="shared" ca="1" si="165"/>
        <v>0</v>
      </c>
      <c r="S384" s="307">
        <f t="shared" ca="1" si="166"/>
        <v>0.4270000000000001</v>
      </c>
      <c r="T384" s="304">
        <f t="shared" ca="1" si="146"/>
        <v>4.1888700000000014</v>
      </c>
      <c r="U384" s="311">
        <f t="shared" ca="1" si="147"/>
        <v>0</v>
      </c>
      <c r="V384" s="306">
        <f t="shared" ca="1" si="148"/>
        <v>1.225370930914675</v>
      </c>
      <c r="W384" s="304">
        <f t="shared" ca="1" si="149"/>
        <v>3.5440596714409036</v>
      </c>
      <c r="Y384" s="314" t="str">
        <f t="shared" ca="1" si="167"/>
        <v/>
      </c>
      <c r="Z384" s="315" t="str">
        <f t="shared" ca="1" si="168"/>
        <v/>
      </c>
      <c r="AA384" s="316" t="str">
        <f t="shared" ca="1" si="169"/>
        <v/>
      </c>
      <c r="AC384" s="310" t="e">
        <f t="shared" ca="1" si="170"/>
        <v>#N/A</v>
      </c>
      <c r="AD384" s="323" t="e">
        <f t="shared" ca="1" si="171"/>
        <v>#N/A</v>
      </c>
      <c r="AE384" s="324" t="e">
        <f t="shared" ca="1" si="150"/>
        <v>#N/A</v>
      </c>
      <c r="AG384" s="306">
        <f t="shared" ca="1" si="172"/>
        <v>1.484857857557019</v>
      </c>
      <c r="AH384" s="304">
        <f t="shared" ca="1" si="173"/>
        <v>-8.299854086979499</v>
      </c>
    </row>
    <row r="385" spans="1:34" x14ac:dyDescent="0.3">
      <c r="A385" s="347">
        <f t="shared" ca="1" si="151"/>
        <v>1E-4</v>
      </c>
      <c r="B385" s="304">
        <f t="shared" ca="1" si="152"/>
        <v>16.103999999999953</v>
      </c>
      <c r="D385" s="306">
        <f t="shared" ca="1" si="153"/>
        <v>-0.59555678349365726</v>
      </c>
      <c r="E385" s="307">
        <f t="shared" ca="1" si="154"/>
        <v>-1.5314890035464384</v>
      </c>
      <c r="F385" s="304">
        <f t="shared" ca="1" si="155"/>
        <v>1.6432122353332734</v>
      </c>
      <c r="G385" s="306">
        <f t="shared" ca="1" si="156"/>
        <v>3.7519743599313893</v>
      </c>
      <c r="H385" s="307">
        <f t="shared" ca="1" si="157"/>
        <v>-52.155136334937289</v>
      </c>
      <c r="I385" s="304">
        <f t="shared" ca="1" si="158"/>
        <v>52.289918318099126</v>
      </c>
      <c r="J385" s="306">
        <f t="shared" ca="1" si="159"/>
        <v>150.09587023194715</v>
      </c>
      <c r="K385" s="307">
        <f t="shared" ca="1" si="160"/>
        <v>-3.0327646006465643</v>
      </c>
      <c r="L385" s="304">
        <f t="shared" ca="1" si="145"/>
        <v>150.12650639313651</v>
      </c>
      <c r="M385" s="306">
        <f t="shared" ca="1" si="161"/>
        <v>-1.4989813098223581</v>
      </c>
      <c r="N385" s="304">
        <f t="shared" ca="1" si="162"/>
        <v>-85.885302621813167</v>
      </c>
      <c r="P385" s="310">
        <f t="shared" ca="1" si="163"/>
        <v>23</v>
      </c>
      <c r="Q385" s="304">
        <f t="shared" ca="1" si="164"/>
        <v>0</v>
      </c>
      <c r="R385" s="306">
        <f t="shared" ca="1" si="165"/>
        <v>0</v>
      </c>
      <c r="S385" s="307">
        <f t="shared" ca="1" si="166"/>
        <v>0.4270000000000001</v>
      </c>
      <c r="T385" s="304">
        <f t="shared" ca="1" si="146"/>
        <v>4.1888700000000014</v>
      </c>
      <c r="U385" s="311">
        <f t="shared" ca="1" si="147"/>
        <v>0</v>
      </c>
      <c r="V385" s="306">
        <f t="shared" ca="1" si="148"/>
        <v>1.2253715700077976</v>
      </c>
      <c r="W385" s="304">
        <f t="shared" ca="1" si="149"/>
        <v>3.544081647141291</v>
      </c>
      <c r="Y385" s="314" t="str">
        <f t="shared" ca="1" si="167"/>
        <v/>
      </c>
      <c r="Z385" s="315" t="str">
        <f t="shared" ca="1" si="168"/>
        <v/>
      </c>
      <c r="AA385" s="316" t="str">
        <f t="shared" ca="1" si="169"/>
        <v/>
      </c>
      <c r="AC385" s="310" t="e">
        <f t="shared" ca="1" si="170"/>
        <v>#N/A</v>
      </c>
      <c r="AD385" s="323" t="e">
        <f t="shared" ca="1" si="171"/>
        <v>#N/A</v>
      </c>
      <c r="AE385" s="324" t="e">
        <f t="shared" ca="1" si="150"/>
        <v>#N/A</v>
      </c>
      <c r="AG385" s="306">
        <f t="shared" ca="1" si="172"/>
        <v>1.4848073384292366</v>
      </c>
      <c r="AH385" s="304">
        <f t="shared" ca="1" si="173"/>
        <v>-8.2999055537257682</v>
      </c>
    </row>
    <row r="386" spans="1:34" x14ac:dyDescent="0.3">
      <c r="A386" s="347">
        <f t="shared" ca="1" si="151"/>
        <v>1E-4</v>
      </c>
      <c r="B386" s="304">
        <f t="shared" ca="1" si="152"/>
        <v>16.104099999999953</v>
      </c>
      <c r="D386" s="306">
        <f t="shared" ca="1" si="153"/>
        <v>-0.59554933198834614</v>
      </c>
      <c r="E386" s="307">
        <f t="shared" ca="1" si="154"/>
        <v>-1.5314368691471945</v>
      </c>
      <c r="F386" s="304">
        <f t="shared" ca="1" si="155"/>
        <v>1.6431609449518714</v>
      </c>
      <c r="G386" s="306">
        <f t="shared" ca="1" si="156"/>
        <v>3.7519148049981905</v>
      </c>
      <c r="H386" s="307">
        <f t="shared" ca="1" si="157"/>
        <v>-52.155289478624205</v>
      </c>
      <c r="I386" s="304">
        <f t="shared" ca="1" si="158"/>
        <v>52.290066793828565</v>
      </c>
      <c r="J386" s="306">
        <f t="shared" ca="1" si="159"/>
        <v>150.09587023194715</v>
      </c>
      <c r="K386" s="307">
        <f t="shared" ca="1" si="160"/>
        <v>-3.0379801219372422</v>
      </c>
      <c r="L386" s="304">
        <f t="shared" ca="1" si="145"/>
        <v>150.12661184449212</v>
      </c>
      <c r="M386" s="306">
        <f t="shared" ca="1" si="161"/>
        <v>-1.4989826559669452</v>
      </c>
      <c r="N386" s="304">
        <f t="shared" ca="1" si="162"/>
        <v>-85.885379750216629</v>
      </c>
      <c r="P386" s="310">
        <f t="shared" ca="1" si="163"/>
        <v>23</v>
      </c>
      <c r="Q386" s="304">
        <f t="shared" ca="1" si="164"/>
        <v>0</v>
      </c>
      <c r="R386" s="306">
        <f t="shared" ca="1" si="165"/>
        <v>0</v>
      </c>
      <c r="S386" s="307">
        <f t="shared" ca="1" si="166"/>
        <v>0.4270000000000001</v>
      </c>
      <c r="T386" s="304">
        <f t="shared" ca="1" si="146"/>
        <v>4.1888700000000014</v>
      </c>
      <c r="U386" s="311">
        <f t="shared" ca="1" si="147"/>
        <v>0</v>
      </c>
      <c r="V386" s="306">
        <f t="shared" ca="1" si="148"/>
        <v>1.2253722091031305</v>
      </c>
      <c r="W386" s="304">
        <f t="shared" ca="1" si="149"/>
        <v>3.5441036222414231</v>
      </c>
      <c r="Y386" s="314" t="str">
        <f t="shared" ca="1" si="167"/>
        <v/>
      </c>
      <c r="Z386" s="315" t="str">
        <f t="shared" ca="1" si="168"/>
        <v/>
      </c>
      <c r="AA386" s="316" t="str">
        <f t="shared" ca="1" si="169"/>
        <v/>
      </c>
      <c r="AC386" s="310" t="e">
        <f t="shared" ca="1" si="170"/>
        <v>#N/A</v>
      </c>
      <c r="AD386" s="323" t="e">
        <f t="shared" ca="1" si="171"/>
        <v>#N/A</v>
      </c>
      <c r="AE386" s="324" t="e">
        <f t="shared" ca="1" si="150"/>
        <v>#N/A</v>
      </c>
      <c r="AG386" s="306">
        <f t="shared" ca="1" si="172"/>
        <v>1.4847568206690855</v>
      </c>
      <c r="AH386" s="304">
        <f t="shared" ca="1" si="173"/>
        <v>-8.2999570190662535</v>
      </c>
    </row>
    <row r="387" spans="1:34" x14ac:dyDescent="0.3">
      <c r="A387" s="347">
        <f t="shared" ca="1" si="151"/>
        <v>1E-4</v>
      </c>
      <c r="B387" s="304">
        <f t="shared" ca="1" si="152"/>
        <v>16.104199999999953</v>
      </c>
      <c r="D387" s="306">
        <f t="shared" ca="1" si="153"/>
        <v>-0.59554188048306889</v>
      </c>
      <c r="E387" s="307">
        <f t="shared" ca="1" si="154"/>
        <v>-1.5313847361724164</v>
      </c>
      <c r="F387" s="304">
        <f t="shared" ca="1" si="155"/>
        <v>1.643109655985008</v>
      </c>
      <c r="G387" s="306">
        <f t="shared" ca="1" si="156"/>
        <v>3.7518552508101424</v>
      </c>
      <c r="H387" s="307">
        <f t="shared" ca="1" si="157"/>
        <v>-52.155442617097819</v>
      </c>
      <c r="I387" s="304">
        <f t="shared" ca="1" si="158"/>
        <v>52.290215264506372</v>
      </c>
      <c r="J387" s="306">
        <f t="shared" ca="1" si="159"/>
        <v>150.09587023194715</v>
      </c>
      <c r="K387" s="307">
        <f t="shared" ca="1" si="160"/>
        <v>-3.0431956585420283</v>
      </c>
      <c r="L387" s="304">
        <f t="shared" ca="1" si="145"/>
        <v>150.12671747727546</v>
      </c>
      <c r="M387" s="306">
        <f t="shared" ca="1" si="161"/>
        <v>-1.4989840020825205</v>
      </c>
      <c r="N387" s="304">
        <f t="shared" ca="1" si="162"/>
        <v>-85.885456876957832</v>
      </c>
      <c r="P387" s="310">
        <f t="shared" ca="1" si="163"/>
        <v>23</v>
      </c>
      <c r="Q387" s="304">
        <f t="shared" ca="1" si="164"/>
        <v>0</v>
      </c>
      <c r="R387" s="306">
        <f t="shared" ca="1" si="165"/>
        <v>0</v>
      </c>
      <c r="S387" s="307">
        <f t="shared" ca="1" si="166"/>
        <v>0.4270000000000001</v>
      </c>
      <c r="T387" s="304">
        <f t="shared" ca="1" si="146"/>
        <v>4.1888700000000014</v>
      </c>
      <c r="U387" s="311">
        <f t="shared" ca="1" si="147"/>
        <v>0</v>
      </c>
      <c r="V387" s="306">
        <f t="shared" ca="1" si="148"/>
        <v>1.2253728482006727</v>
      </c>
      <c r="W387" s="304">
        <f t="shared" ca="1" si="149"/>
        <v>3.5441255967413081</v>
      </c>
      <c r="Y387" s="314" t="str">
        <f t="shared" ca="1" si="167"/>
        <v/>
      </c>
      <c r="Z387" s="315" t="str">
        <f t="shared" ca="1" si="168"/>
        <v/>
      </c>
      <c r="AA387" s="316" t="str">
        <f t="shared" ca="1" si="169"/>
        <v/>
      </c>
      <c r="AC387" s="310" t="e">
        <f t="shared" ca="1" si="170"/>
        <v>#N/A</v>
      </c>
      <c r="AD387" s="323" t="e">
        <f t="shared" ca="1" si="171"/>
        <v>#N/A</v>
      </c>
      <c r="AE387" s="324" t="e">
        <f t="shared" ca="1" si="150"/>
        <v>#N/A</v>
      </c>
      <c r="AG387" s="306">
        <f t="shared" ca="1" si="172"/>
        <v>1.4847063042765285</v>
      </c>
      <c r="AH387" s="304">
        <f t="shared" ca="1" si="173"/>
        <v>-8.3000084830009886</v>
      </c>
    </row>
    <row r="388" spans="1:34" x14ac:dyDescent="0.3">
      <c r="A388" s="347">
        <f t="shared" ca="1" si="151"/>
        <v>1E-4</v>
      </c>
      <c r="B388" s="304">
        <f t="shared" ca="1" si="152"/>
        <v>16.104299999999952</v>
      </c>
      <c r="D388" s="306">
        <f t="shared" ca="1" si="153"/>
        <v>-0.5955344289778316</v>
      </c>
      <c r="E388" s="307">
        <f t="shared" ca="1" si="154"/>
        <v>-1.531332604622083</v>
      </c>
      <c r="F388" s="304">
        <f t="shared" ca="1" si="155"/>
        <v>1.643058368432663</v>
      </c>
      <c r="G388" s="306">
        <f t="shared" ca="1" si="156"/>
        <v>3.7517956973672444</v>
      </c>
      <c r="H388" s="307">
        <f t="shared" ca="1" si="157"/>
        <v>-52.15559575035828</v>
      </c>
      <c r="I388" s="304">
        <f t="shared" ca="1" si="158"/>
        <v>52.290363730132668</v>
      </c>
      <c r="J388" s="306">
        <f t="shared" ca="1" si="159"/>
        <v>150.09587023194715</v>
      </c>
      <c r="K388" s="307">
        <f t="shared" ca="1" si="160"/>
        <v>-3.0484112104604013</v>
      </c>
      <c r="L388" s="304">
        <f t="shared" ref="L388:L451" ca="1" si="174">SQRT(pos_x^2+pos_z^2)</f>
        <v>150.12682329148771</v>
      </c>
      <c r="M388" s="306">
        <f t="shared" ca="1" si="161"/>
        <v>-1.4989853481690851</v>
      </c>
      <c r="N388" s="304">
        <f t="shared" ca="1" si="162"/>
        <v>-85.885534002036835</v>
      </c>
      <c r="P388" s="310">
        <f t="shared" ca="1" si="163"/>
        <v>23</v>
      </c>
      <c r="Q388" s="304">
        <f t="shared" ca="1" si="164"/>
        <v>0</v>
      </c>
      <c r="R388" s="306">
        <f t="shared" ca="1" si="165"/>
        <v>0</v>
      </c>
      <c r="S388" s="307">
        <f t="shared" ca="1" si="166"/>
        <v>0.4270000000000001</v>
      </c>
      <c r="T388" s="304">
        <f t="shared" ref="T388:T451" ca="1" si="175">m*g</f>
        <v>4.1888700000000014</v>
      </c>
      <c r="U388" s="311">
        <f t="shared" ref="U388:U451" ca="1" si="176">IF(pos_xz&lt;L_rampe,Poids*COS(Beta),0)</f>
        <v>0</v>
      </c>
      <c r="V388" s="306">
        <f t="shared" ref="V388:V451" ca="1" si="177">Rho_moyen*(20000-Alt_rampe-pos_z)/(20000+Alt_rampe+pos_z)</f>
        <v>1.2253734873004252</v>
      </c>
      <c r="W388" s="304">
        <f t="shared" ref="W388:W451" ca="1" si="178">1/2*Rho*Sref*Cx*vit_xz^2</f>
        <v>3.5441475706409609</v>
      </c>
      <c r="Y388" s="314" t="str">
        <f t="shared" ca="1" si="167"/>
        <v/>
      </c>
      <c r="Z388" s="315" t="str">
        <f t="shared" ca="1" si="168"/>
        <v/>
      </c>
      <c r="AA388" s="316" t="str">
        <f t="shared" ca="1" si="169"/>
        <v/>
      </c>
      <c r="AC388" s="310" t="e">
        <f t="shared" ca="1" si="170"/>
        <v>#N/A</v>
      </c>
      <c r="AD388" s="323" t="e">
        <f t="shared" ca="1" si="171"/>
        <v>#N/A</v>
      </c>
      <c r="AE388" s="324" t="e">
        <f t="shared" ref="AE388:AE451" ca="1" si="179">IF(t&lt;T_para, pos_z, NA())</f>
        <v>#N/A</v>
      </c>
      <c r="AG388" s="306">
        <f t="shared" ca="1" si="172"/>
        <v>1.4846557892515513</v>
      </c>
      <c r="AH388" s="304">
        <f t="shared" ca="1" si="173"/>
        <v>-8.300059945529993</v>
      </c>
    </row>
    <row r="389" spans="1:34" x14ac:dyDescent="0.3">
      <c r="A389" s="347">
        <f t="shared" ref="A389:A452" ca="1" si="180">IF(B388+0.01&lt;=T_ini+ROUNDUP(Temps_fin_propu,0), 0.01, IF(K388&gt;0, 0.1, 0.0001))</f>
        <v>1E-4</v>
      </c>
      <c r="B389" s="304">
        <f t="shared" ref="B389:B452" ca="1" si="181">B388+pas</f>
        <v>16.104399999999952</v>
      </c>
      <c r="D389" s="306">
        <f t="shared" ref="D389:D452" ca="1" si="182">IF(AND(L388&lt;L_rampe,Poussee&lt;Poids*SIN(M388)),0,(-W388+Poussee)/m*COS(M388)-U388/m*SIN(M388))</f>
        <v>-0.59552697747263617</v>
      </c>
      <c r="E389" s="307">
        <f t="shared" ref="E389:E452" ca="1" si="183">IF(AND(L388&lt;L_rampe,Poussee&lt;Poids*SIN(M388)),0,(-W388+Poussee)/m*SIN(M388)+U388/m*COS(M388)-Poids/m)</f>
        <v>-1.5312804744961586</v>
      </c>
      <c r="F389" s="304">
        <f t="shared" ref="F389:F452" ca="1" si="184">SQRT(acc_x^2+acc_z^2)</f>
        <v>1.6430070822948006</v>
      </c>
      <c r="G389" s="306">
        <f t="shared" ref="G389:G452" ca="1" si="185">G388+acc_x*pas</f>
        <v>3.751736144669497</v>
      </c>
      <c r="H389" s="307">
        <f t="shared" ref="H389:H452" ca="1" si="186">H388+acc_z*pas</f>
        <v>-52.155748878405731</v>
      </c>
      <c r="I389" s="304">
        <f t="shared" ref="I389:I452" ca="1" si="187">SQRT(vit_x^2+vit_z^2)</f>
        <v>52.290512190707595</v>
      </c>
      <c r="J389" s="306">
        <f t="shared" ref="J389:J452" ca="1" si="188">J388+0.5*(vit_x+G388)*pas*(K388&gt;=0)</f>
        <v>150.09587023194715</v>
      </c>
      <c r="K389" s="307">
        <f t="shared" ref="K389:K452" ca="1" si="189">K388+0.5*(vit_z+H388)*pas</f>
        <v>-3.0536267776918393</v>
      </c>
      <c r="L389" s="304">
        <f t="shared" ca="1" si="174"/>
        <v>150.12692928713008</v>
      </c>
      <c r="M389" s="306">
        <f t="shared" ref="M389:M452" ca="1" si="190">IF(AND(L388&gt;L_rampe,G389&gt;0),ATAN2(G389,H389),$M$4)</f>
        <v>-1.4989866942266397</v>
      </c>
      <c r="N389" s="304">
        <f t="shared" ref="N389:N452" ca="1" si="191">DEGREES(Beta)</f>
        <v>-85.885611125453693</v>
      </c>
      <c r="P389" s="310">
        <f t="shared" ref="P389:P452" ca="1" si="192">MATCH(t-pas/2-T_ini,CdP_t)</f>
        <v>23</v>
      </c>
      <c r="Q389" s="304">
        <f t="shared" ref="Q389:Q452" ca="1" si="193">(INDEX(CdP,2,i_P+1)-INDEX(CdP,2,i_P+0))/(INDEX(CdP,1,i_P+1)-INDEX(CdP,1,i_P+0))*(t-pas/2-T_ini-INDEX(CdP,1,i_P+0))+INDEX(CdP,2,i_P+0)</f>
        <v>0</v>
      </c>
      <c r="R389" s="306">
        <f t="shared" ref="R389:R452" ca="1" si="194">Poussee/(g*ISP)</f>
        <v>0</v>
      </c>
      <c r="S389" s="307">
        <f t="shared" ref="S389:S452" ca="1" si="195">S388-Débit*pas</f>
        <v>0.4270000000000001</v>
      </c>
      <c r="T389" s="304">
        <f t="shared" ca="1" si="175"/>
        <v>4.1888700000000014</v>
      </c>
      <c r="U389" s="311">
        <f t="shared" ca="1" si="176"/>
        <v>0</v>
      </c>
      <c r="V389" s="306">
        <f t="shared" ca="1" si="177"/>
        <v>1.2253741264023872</v>
      </c>
      <c r="W389" s="304">
        <f t="shared" ca="1" si="178"/>
        <v>3.5441695439403902</v>
      </c>
      <c r="Y389" s="314" t="str">
        <f t="shared" ref="Y389:Y452" ca="1" si="196">IF(AND(pos_z&lt;=0,K388&gt;0),"Impact balistique","") &amp; IF(AND(H390&lt;0,vit_z&gt;=0),"Apogée","") &amp; IF(AND(Poussee=0,Q388&gt;0),"Fin de propulsion","") &amp; IF(AND(L390&gt;L_rampe,pos_xz&lt;=L_rampe),"Sortie de rampe","")</f>
        <v/>
      </c>
      <c r="Z389" s="315" t="str">
        <f t="shared" ref="Z389:Z452" ca="1" si="197">IF(ABS(t-T_para)&lt;pas/2,"Para","")</f>
        <v/>
      </c>
      <c r="AA389" s="316" t="str">
        <f t="shared" ref="AA389:AA452" ca="1" si="198">IF(ABS(t-T_satellite)&lt;pas/2,"Satellite","")</f>
        <v/>
      </c>
      <c r="AC389" s="310" t="e">
        <f t="shared" ref="AC389:AC452" ca="1" si="199">IF(ABS(t-ROUND(t,0))&lt;0.001,t,NA())</f>
        <v>#N/A</v>
      </c>
      <c r="AD389" s="323" t="e">
        <f t="shared" ref="AD389:AD452" ca="1" si="200">IF(ABS(t-ROUND(t,0))&lt;0.001,pos_x,NA())</f>
        <v>#N/A</v>
      </c>
      <c r="AE389" s="324" t="e">
        <f t="shared" ca="1" si="179"/>
        <v>#N/A</v>
      </c>
      <c r="AG389" s="306">
        <f t="shared" ref="AG389:AG452" ca="1" si="201">IF(AND(L388&lt;L_rampe,Poussee&lt;Poids*SIN(M388)),0,(-W388+Poussee)/m-Poids*SIN(M388)/m)</f>
        <v>1.4846052755941201</v>
      </c>
      <c r="AH389" s="304">
        <f t="shared" ref="AH389:AH452" ca="1" si="202">IF(AND(L388&lt;L_rampe,Poussee&lt;Poids*SIN(M388)), g*SIN(M388), (-W388+Poussee)/m)</f>
        <v>-8.3001114066533024</v>
      </c>
    </row>
    <row r="390" spans="1:34" x14ac:dyDescent="0.3">
      <c r="A390" s="347">
        <f t="shared" ca="1" si="180"/>
        <v>1E-4</v>
      </c>
      <c r="B390" s="304">
        <f t="shared" ca="1" si="181"/>
        <v>16.104499999999952</v>
      </c>
      <c r="D390" s="306">
        <f t="shared" ca="1" si="182"/>
        <v>-0.59551952596749014</v>
      </c>
      <c r="E390" s="307">
        <f t="shared" ca="1" si="183"/>
        <v>-1.5312283457946236</v>
      </c>
      <c r="F390" s="304">
        <f t="shared" ca="1" si="184"/>
        <v>1.6429557975714026</v>
      </c>
      <c r="G390" s="306">
        <f t="shared" ca="1" si="185"/>
        <v>3.7516765927169002</v>
      </c>
      <c r="H390" s="307">
        <f t="shared" ca="1" si="186"/>
        <v>-52.155902001240314</v>
      </c>
      <c r="I390" s="304">
        <f t="shared" ca="1" si="187"/>
        <v>52.290660646231302</v>
      </c>
      <c r="J390" s="306">
        <f t="shared" ca="1" si="188"/>
        <v>150.09587023194715</v>
      </c>
      <c r="K390" s="307">
        <f t="shared" ca="1" si="189"/>
        <v>-3.0588423602358215</v>
      </c>
      <c r="L390" s="304">
        <f t="shared" ca="1" si="174"/>
        <v>150.12703546420374</v>
      </c>
      <c r="M390" s="306">
        <f t="shared" ca="1" si="190"/>
        <v>-1.4989880402551852</v>
      </c>
      <c r="N390" s="304">
        <f t="shared" ca="1" si="191"/>
        <v>-85.885688247208464</v>
      </c>
      <c r="P390" s="310">
        <f t="shared" ca="1" si="192"/>
        <v>23</v>
      </c>
      <c r="Q390" s="304">
        <f t="shared" ca="1" si="193"/>
        <v>0</v>
      </c>
      <c r="R390" s="306">
        <f t="shared" ca="1" si="194"/>
        <v>0</v>
      </c>
      <c r="S390" s="307">
        <f t="shared" ca="1" si="195"/>
        <v>0.4270000000000001</v>
      </c>
      <c r="T390" s="304">
        <f t="shared" ca="1" si="175"/>
        <v>4.1888700000000014</v>
      </c>
      <c r="U390" s="311">
        <f t="shared" ca="1" si="176"/>
        <v>0</v>
      </c>
      <c r="V390" s="306">
        <f t="shared" ca="1" si="177"/>
        <v>1.2253747655065592</v>
      </c>
      <c r="W390" s="304">
        <f t="shared" ca="1" si="178"/>
        <v>3.5441915166396125</v>
      </c>
      <c r="Y390" s="314" t="str">
        <f t="shared" ca="1" si="196"/>
        <v/>
      </c>
      <c r="Z390" s="315" t="str">
        <f t="shared" ca="1" si="197"/>
        <v/>
      </c>
      <c r="AA390" s="316" t="str">
        <f t="shared" ca="1" si="198"/>
        <v/>
      </c>
      <c r="AC390" s="310" t="e">
        <f t="shared" ca="1" si="199"/>
        <v>#N/A</v>
      </c>
      <c r="AD390" s="323" t="e">
        <f t="shared" ca="1" si="200"/>
        <v>#N/A</v>
      </c>
      <c r="AE390" s="324" t="e">
        <f t="shared" ca="1" si="179"/>
        <v>#N/A</v>
      </c>
      <c r="AG390" s="306">
        <f t="shared" ca="1" si="201"/>
        <v>1.4845547633042191</v>
      </c>
      <c r="AH390" s="304">
        <f t="shared" ca="1" si="202"/>
        <v>-8.3001628663709344</v>
      </c>
    </row>
    <row r="391" spans="1:34" x14ac:dyDescent="0.3">
      <c r="A391" s="347">
        <f t="shared" ca="1" si="180"/>
        <v>1E-4</v>
      </c>
      <c r="B391" s="304">
        <f t="shared" ca="1" si="181"/>
        <v>16.104599999999952</v>
      </c>
      <c r="D391" s="306">
        <f t="shared" ca="1" si="182"/>
        <v>-0.59551207446239784</v>
      </c>
      <c r="E391" s="307">
        <f t="shared" ca="1" si="183"/>
        <v>-1.5311762185174391</v>
      </c>
      <c r="F391" s="304">
        <f t="shared" ca="1" si="184"/>
        <v>1.6429045142624306</v>
      </c>
      <c r="G391" s="306">
        <f t="shared" ca="1" si="185"/>
        <v>3.7516170415094541</v>
      </c>
      <c r="H391" s="307">
        <f t="shared" ca="1" si="186"/>
        <v>-52.156055118862163</v>
      </c>
      <c r="I391" s="304">
        <f t="shared" ca="1" si="187"/>
        <v>52.29080909670391</v>
      </c>
      <c r="J391" s="306">
        <f t="shared" ca="1" si="188"/>
        <v>150.09587023194715</v>
      </c>
      <c r="K391" s="307">
        <f t="shared" ca="1" si="189"/>
        <v>-3.0640579580918268</v>
      </c>
      <c r="L391" s="304">
        <f t="shared" ca="1" si="174"/>
        <v>150.12714182270994</v>
      </c>
      <c r="M391" s="306">
        <f t="shared" ca="1" si="190"/>
        <v>-1.4989893862547223</v>
      </c>
      <c r="N391" s="304">
        <f t="shared" ca="1" si="191"/>
        <v>-85.885765367301161</v>
      </c>
      <c r="P391" s="310">
        <f t="shared" ca="1" si="192"/>
        <v>23</v>
      </c>
      <c r="Q391" s="304">
        <f t="shared" ca="1" si="193"/>
        <v>0</v>
      </c>
      <c r="R391" s="306">
        <f t="shared" ca="1" si="194"/>
        <v>0</v>
      </c>
      <c r="S391" s="307">
        <f t="shared" ca="1" si="195"/>
        <v>0.4270000000000001</v>
      </c>
      <c r="T391" s="304">
        <f t="shared" ca="1" si="175"/>
        <v>4.1888700000000014</v>
      </c>
      <c r="U391" s="311">
        <f t="shared" ca="1" si="176"/>
        <v>0</v>
      </c>
      <c r="V391" s="306">
        <f t="shared" ca="1" si="177"/>
        <v>1.2253754046129406</v>
      </c>
      <c r="W391" s="304">
        <f t="shared" ca="1" si="178"/>
        <v>3.5442134887386341</v>
      </c>
      <c r="Y391" s="314" t="str">
        <f t="shared" ca="1" si="196"/>
        <v/>
      </c>
      <c r="Z391" s="315" t="str">
        <f t="shared" ca="1" si="197"/>
        <v/>
      </c>
      <c r="AA391" s="316" t="str">
        <f t="shared" ca="1" si="198"/>
        <v/>
      </c>
      <c r="AC391" s="310" t="e">
        <f t="shared" ca="1" si="199"/>
        <v>#N/A</v>
      </c>
      <c r="AD391" s="323" t="e">
        <f t="shared" ca="1" si="200"/>
        <v>#N/A</v>
      </c>
      <c r="AE391" s="324" t="e">
        <f t="shared" ca="1" si="179"/>
        <v>#N/A</v>
      </c>
      <c r="AG391" s="306">
        <f t="shared" ca="1" si="201"/>
        <v>1.4845042523818073</v>
      </c>
      <c r="AH391" s="304">
        <f t="shared" ca="1" si="202"/>
        <v>-8.3002143246829316</v>
      </c>
    </row>
    <row r="392" spans="1:34" x14ac:dyDescent="0.3">
      <c r="A392" s="347">
        <f t="shared" ca="1" si="180"/>
        <v>1E-4</v>
      </c>
      <c r="B392" s="304">
        <f t="shared" ca="1" si="181"/>
        <v>16.104699999999951</v>
      </c>
      <c r="D392" s="306">
        <f t="shared" ca="1" si="182"/>
        <v>-0.59550462295736439</v>
      </c>
      <c r="E392" s="307">
        <f t="shared" ca="1" si="183"/>
        <v>-1.531124092664589</v>
      </c>
      <c r="F392" s="304">
        <f t="shared" ca="1" si="184"/>
        <v>1.6428532323678684</v>
      </c>
      <c r="G392" s="306">
        <f t="shared" ca="1" si="185"/>
        <v>3.7515574910471585</v>
      </c>
      <c r="H392" s="307">
        <f t="shared" ca="1" si="186"/>
        <v>-52.156208231271428</v>
      </c>
      <c r="I392" s="304">
        <f t="shared" ca="1" si="187"/>
        <v>52.290957542125554</v>
      </c>
      <c r="J392" s="306">
        <f t="shared" ca="1" si="188"/>
        <v>150.09587023194715</v>
      </c>
      <c r="K392" s="307">
        <f t="shared" ca="1" si="189"/>
        <v>-3.0692735712593335</v>
      </c>
      <c r="L392" s="304">
        <f t="shared" ca="1" si="174"/>
        <v>150.12724836264982</v>
      </c>
      <c r="M392" s="306">
        <f t="shared" ca="1" si="190"/>
        <v>-1.4989907322252518</v>
      </c>
      <c r="N392" s="304">
        <f t="shared" ca="1" si="191"/>
        <v>-85.885842485731857</v>
      </c>
      <c r="P392" s="310">
        <f t="shared" ca="1" si="192"/>
        <v>23</v>
      </c>
      <c r="Q392" s="304">
        <f t="shared" ca="1" si="193"/>
        <v>0</v>
      </c>
      <c r="R392" s="306">
        <f t="shared" ca="1" si="194"/>
        <v>0</v>
      </c>
      <c r="S392" s="307">
        <f t="shared" ca="1" si="195"/>
        <v>0.4270000000000001</v>
      </c>
      <c r="T392" s="304">
        <f t="shared" ca="1" si="175"/>
        <v>4.1888700000000014</v>
      </c>
      <c r="U392" s="311">
        <f t="shared" ca="1" si="176"/>
        <v>0</v>
      </c>
      <c r="V392" s="306">
        <f t="shared" ca="1" si="177"/>
        <v>1.225376043721532</v>
      </c>
      <c r="W392" s="304">
        <f t="shared" ca="1" si="178"/>
        <v>3.544235460237469</v>
      </c>
      <c r="Y392" s="314" t="str">
        <f t="shared" ca="1" si="196"/>
        <v/>
      </c>
      <c r="Z392" s="315" t="str">
        <f t="shared" ca="1" si="197"/>
        <v/>
      </c>
      <c r="AA392" s="316" t="str">
        <f t="shared" ca="1" si="198"/>
        <v/>
      </c>
      <c r="AC392" s="310" t="e">
        <f t="shared" ca="1" si="199"/>
        <v>#N/A</v>
      </c>
      <c r="AD392" s="323" t="e">
        <f t="shared" ca="1" si="200"/>
        <v>#N/A</v>
      </c>
      <c r="AE392" s="324" t="e">
        <f t="shared" ca="1" si="179"/>
        <v>#N/A</v>
      </c>
      <c r="AG392" s="306">
        <f t="shared" ca="1" si="201"/>
        <v>1.484453742826874</v>
      </c>
      <c r="AH392" s="304">
        <f t="shared" ca="1" si="202"/>
        <v>-8.3002657815893048</v>
      </c>
    </row>
    <row r="393" spans="1:34" x14ac:dyDescent="0.3">
      <c r="A393" s="347">
        <f t="shared" ca="1" si="180"/>
        <v>1E-4</v>
      </c>
      <c r="B393" s="304">
        <f t="shared" ca="1" si="181"/>
        <v>16.104799999999951</v>
      </c>
      <c r="D393" s="306">
        <f t="shared" ca="1" si="182"/>
        <v>-0.59549717145239733</v>
      </c>
      <c r="E393" s="307">
        <f t="shared" ca="1" si="183"/>
        <v>-1.5310719682360414</v>
      </c>
      <c r="F393" s="304">
        <f t="shared" ca="1" si="184"/>
        <v>1.6428019518876862</v>
      </c>
      <c r="G393" s="306">
        <f t="shared" ca="1" si="185"/>
        <v>3.7514979413300131</v>
      </c>
      <c r="H393" s="307">
        <f t="shared" ca="1" si="186"/>
        <v>-52.156361338468251</v>
      </c>
      <c r="I393" s="304">
        <f t="shared" ca="1" si="187"/>
        <v>52.291105982496383</v>
      </c>
      <c r="J393" s="306">
        <f t="shared" ca="1" si="188"/>
        <v>150.09587023194715</v>
      </c>
      <c r="K393" s="307">
        <f t="shared" ca="1" si="189"/>
        <v>-3.0744891997378203</v>
      </c>
      <c r="L393" s="304">
        <f t="shared" ca="1" si="174"/>
        <v>150.12735508402466</v>
      </c>
      <c r="M393" s="306">
        <f t="shared" ca="1" si="190"/>
        <v>-1.4989920781667747</v>
      </c>
      <c r="N393" s="304">
        <f t="shared" ca="1" si="191"/>
        <v>-85.885919602500593</v>
      </c>
      <c r="P393" s="310">
        <f t="shared" ca="1" si="192"/>
        <v>23</v>
      </c>
      <c r="Q393" s="304">
        <f t="shared" ca="1" si="193"/>
        <v>0</v>
      </c>
      <c r="R393" s="306">
        <f t="shared" ca="1" si="194"/>
        <v>0</v>
      </c>
      <c r="S393" s="307">
        <f t="shared" ca="1" si="195"/>
        <v>0.4270000000000001</v>
      </c>
      <c r="T393" s="304">
        <f t="shared" ca="1" si="175"/>
        <v>4.1888700000000014</v>
      </c>
      <c r="U393" s="311">
        <f t="shared" ca="1" si="176"/>
        <v>0</v>
      </c>
      <c r="V393" s="306">
        <f t="shared" ca="1" si="177"/>
        <v>1.2253766828323329</v>
      </c>
      <c r="W393" s="304">
        <f t="shared" ca="1" si="178"/>
        <v>3.5442574311361295</v>
      </c>
      <c r="Y393" s="314" t="str">
        <f t="shared" ca="1" si="196"/>
        <v/>
      </c>
      <c r="Z393" s="315" t="str">
        <f t="shared" ca="1" si="197"/>
        <v/>
      </c>
      <c r="AA393" s="316" t="str">
        <f t="shared" ca="1" si="198"/>
        <v/>
      </c>
      <c r="AC393" s="310" t="e">
        <f t="shared" ca="1" si="199"/>
        <v>#N/A</v>
      </c>
      <c r="AD393" s="323" t="e">
        <f t="shared" ca="1" si="200"/>
        <v>#N/A</v>
      </c>
      <c r="AE393" s="324" t="e">
        <f t="shared" ca="1" si="179"/>
        <v>#N/A</v>
      </c>
      <c r="AG393" s="306">
        <f t="shared" ca="1" si="201"/>
        <v>1.4844032346393856</v>
      </c>
      <c r="AH393" s="304">
        <f t="shared" ca="1" si="202"/>
        <v>-8.3003172370900895</v>
      </c>
    </row>
    <row r="394" spans="1:34" x14ac:dyDescent="0.3">
      <c r="A394" s="347">
        <f t="shared" ca="1" si="180"/>
        <v>1E-4</v>
      </c>
      <c r="B394" s="304">
        <f t="shared" ca="1" si="181"/>
        <v>16.104899999999951</v>
      </c>
      <c r="D394" s="306">
        <f t="shared" ca="1" si="182"/>
        <v>-0.59548971994749944</v>
      </c>
      <c r="E394" s="307">
        <f t="shared" ca="1" si="183"/>
        <v>-1.5310198452317678</v>
      </c>
      <c r="F394" s="304">
        <f t="shared" ca="1" si="184"/>
        <v>1.6427506728218551</v>
      </c>
      <c r="G394" s="306">
        <f t="shared" ca="1" si="185"/>
        <v>3.7514383923580183</v>
      </c>
      <c r="H394" s="307">
        <f t="shared" ca="1" si="186"/>
        <v>-52.156514440452774</v>
      </c>
      <c r="I394" s="304">
        <f t="shared" ca="1" si="187"/>
        <v>52.291254417816532</v>
      </c>
      <c r="J394" s="306">
        <f t="shared" ca="1" si="188"/>
        <v>150.09587023194715</v>
      </c>
      <c r="K394" s="307">
        <f t="shared" ca="1" si="189"/>
        <v>-3.0797048435267662</v>
      </c>
      <c r="L394" s="304">
        <f t="shared" ca="1" si="174"/>
        <v>150.12746198683558</v>
      </c>
      <c r="M394" s="306">
        <f t="shared" ca="1" si="190"/>
        <v>-1.4989934240792917</v>
      </c>
      <c r="N394" s="304">
        <f t="shared" ca="1" si="191"/>
        <v>-85.885996717607398</v>
      </c>
      <c r="P394" s="310">
        <f t="shared" ca="1" si="192"/>
        <v>23</v>
      </c>
      <c r="Q394" s="304">
        <f t="shared" ca="1" si="193"/>
        <v>0</v>
      </c>
      <c r="R394" s="306">
        <f t="shared" ca="1" si="194"/>
        <v>0</v>
      </c>
      <c r="S394" s="307">
        <f t="shared" ca="1" si="195"/>
        <v>0.4270000000000001</v>
      </c>
      <c r="T394" s="304">
        <f t="shared" ca="1" si="175"/>
        <v>4.1888700000000014</v>
      </c>
      <c r="U394" s="311">
        <f t="shared" ca="1" si="176"/>
        <v>0</v>
      </c>
      <c r="V394" s="306">
        <f t="shared" ca="1" si="177"/>
        <v>1.2253773219453432</v>
      </c>
      <c r="W394" s="304">
        <f t="shared" ca="1" si="178"/>
        <v>3.5442794014346268</v>
      </c>
      <c r="Y394" s="314" t="str">
        <f t="shared" ca="1" si="196"/>
        <v/>
      </c>
      <c r="Z394" s="315" t="str">
        <f t="shared" ca="1" si="197"/>
        <v/>
      </c>
      <c r="AA394" s="316" t="str">
        <f t="shared" ca="1" si="198"/>
        <v/>
      </c>
      <c r="AC394" s="310" t="e">
        <f t="shared" ca="1" si="199"/>
        <v>#N/A</v>
      </c>
      <c r="AD394" s="323" t="e">
        <f t="shared" ca="1" si="200"/>
        <v>#N/A</v>
      </c>
      <c r="AE394" s="324" t="e">
        <f t="shared" ca="1" si="179"/>
        <v>#N/A</v>
      </c>
      <c r="AG394" s="306">
        <f t="shared" ca="1" si="201"/>
        <v>1.4843527278193207</v>
      </c>
      <c r="AH394" s="304">
        <f t="shared" ca="1" si="202"/>
        <v>-8.3003686911853123</v>
      </c>
    </row>
    <row r="395" spans="1:34" x14ac:dyDescent="0.3">
      <c r="A395" s="347">
        <f t="shared" ca="1" si="180"/>
        <v>1E-4</v>
      </c>
      <c r="B395" s="304">
        <f t="shared" ca="1" si="181"/>
        <v>16.104999999999951</v>
      </c>
      <c r="D395" s="306">
        <f t="shared" ca="1" si="182"/>
        <v>-0.59548226844267749</v>
      </c>
      <c r="E395" s="307">
        <f t="shared" ca="1" si="183"/>
        <v>-1.5309677236517398</v>
      </c>
      <c r="F395" s="304">
        <f t="shared" ca="1" si="184"/>
        <v>1.6426993951703479</v>
      </c>
      <c r="G395" s="306">
        <f t="shared" ca="1" si="185"/>
        <v>3.7513788441311742</v>
      </c>
      <c r="H395" s="307">
        <f t="shared" ca="1" si="186"/>
        <v>-52.15666753722514</v>
      </c>
      <c r="I395" s="304">
        <f t="shared" ca="1" si="187"/>
        <v>52.291402848086122</v>
      </c>
      <c r="J395" s="306">
        <f t="shared" ca="1" si="188"/>
        <v>150.09587023194715</v>
      </c>
      <c r="K395" s="307">
        <f t="shared" ca="1" si="189"/>
        <v>-3.0849205026256503</v>
      </c>
      <c r="L395" s="304">
        <f t="shared" ca="1" si="174"/>
        <v>150.1275690710838</v>
      </c>
      <c r="M395" s="306">
        <f t="shared" ca="1" si="190"/>
        <v>-1.4989947699628039</v>
      </c>
      <c r="N395" s="304">
        <f t="shared" ca="1" si="191"/>
        <v>-85.886073831052371</v>
      </c>
      <c r="P395" s="310">
        <f t="shared" ca="1" si="192"/>
        <v>23</v>
      </c>
      <c r="Q395" s="304">
        <f t="shared" ca="1" si="193"/>
        <v>0</v>
      </c>
      <c r="R395" s="306">
        <f t="shared" ca="1" si="194"/>
        <v>0</v>
      </c>
      <c r="S395" s="307">
        <f t="shared" ca="1" si="195"/>
        <v>0.4270000000000001</v>
      </c>
      <c r="T395" s="304">
        <f t="shared" ca="1" si="175"/>
        <v>4.1888700000000014</v>
      </c>
      <c r="U395" s="311">
        <f t="shared" ca="1" si="176"/>
        <v>0</v>
      </c>
      <c r="V395" s="306">
        <f t="shared" ca="1" si="177"/>
        <v>1.2253779610605628</v>
      </c>
      <c r="W395" s="304">
        <f t="shared" ca="1" si="178"/>
        <v>3.5443013711329696</v>
      </c>
      <c r="Y395" s="314" t="str">
        <f t="shared" ca="1" si="196"/>
        <v/>
      </c>
      <c r="Z395" s="315" t="str">
        <f t="shared" ca="1" si="197"/>
        <v/>
      </c>
      <c r="AA395" s="316" t="str">
        <f t="shared" ca="1" si="198"/>
        <v/>
      </c>
      <c r="AC395" s="310" t="e">
        <f t="shared" ca="1" si="199"/>
        <v>#N/A</v>
      </c>
      <c r="AD395" s="323" t="e">
        <f t="shared" ca="1" si="200"/>
        <v>#N/A</v>
      </c>
      <c r="AE395" s="324" t="e">
        <f t="shared" ca="1" si="179"/>
        <v>#N/A</v>
      </c>
      <c r="AG395" s="306">
        <f t="shared" ca="1" si="201"/>
        <v>1.4843022223666473</v>
      </c>
      <c r="AH395" s="304">
        <f t="shared" ca="1" si="202"/>
        <v>-8.3004201438750016</v>
      </c>
    </row>
    <row r="396" spans="1:34" x14ac:dyDescent="0.3">
      <c r="A396" s="347">
        <f t="shared" ca="1" si="180"/>
        <v>1E-4</v>
      </c>
      <c r="B396" s="304">
        <f t="shared" ca="1" si="181"/>
        <v>16.10509999999995</v>
      </c>
      <c r="D396" s="306">
        <f t="shared" ca="1" si="182"/>
        <v>-0.5954748169379338</v>
      </c>
      <c r="E396" s="307">
        <f t="shared" ca="1" si="183"/>
        <v>-1.5309156034959361</v>
      </c>
      <c r="F396" s="304">
        <f t="shared" ca="1" si="184"/>
        <v>1.6426481189331428</v>
      </c>
      <c r="G396" s="306">
        <f t="shared" ca="1" si="185"/>
        <v>3.7513192966494802</v>
      </c>
      <c r="H396" s="307">
        <f t="shared" ca="1" si="186"/>
        <v>-52.156820628785489</v>
      </c>
      <c r="I396" s="304">
        <f t="shared" ca="1" si="187"/>
        <v>52.291551273305309</v>
      </c>
      <c r="J396" s="306">
        <f t="shared" ca="1" si="188"/>
        <v>150.09587023194715</v>
      </c>
      <c r="K396" s="307">
        <f t="shared" ca="1" si="189"/>
        <v>-3.0901361770339508</v>
      </c>
      <c r="L396" s="304">
        <f t="shared" ca="1" si="174"/>
        <v>150.12767633677052</v>
      </c>
      <c r="M396" s="306">
        <f t="shared" ca="1" si="190"/>
        <v>-1.4989961158173117</v>
      </c>
      <c r="N396" s="304">
        <f t="shared" ca="1" si="191"/>
        <v>-85.886150942835513</v>
      </c>
      <c r="P396" s="310">
        <f t="shared" ca="1" si="192"/>
        <v>23</v>
      </c>
      <c r="Q396" s="304">
        <f t="shared" ca="1" si="193"/>
        <v>0</v>
      </c>
      <c r="R396" s="306">
        <f t="shared" ca="1" si="194"/>
        <v>0</v>
      </c>
      <c r="S396" s="307">
        <f t="shared" ca="1" si="195"/>
        <v>0.4270000000000001</v>
      </c>
      <c r="T396" s="304">
        <f t="shared" ca="1" si="175"/>
        <v>4.1888700000000014</v>
      </c>
      <c r="U396" s="311">
        <f t="shared" ca="1" si="176"/>
        <v>0</v>
      </c>
      <c r="V396" s="306">
        <f t="shared" ca="1" si="177"/>
        <v>1.2253786001779921</v>
      </c>
      <c r="W396" s="304">
        <f t="shared" ca="1" si="178"/>
        <v>3.5443233402311756</v>
      </c>
      <c r="Y396" s="314" t="str">
        <f t="shared" ca="1" si="196"/>
        <v/>
      </c>
      <c r="Z396" s="315" t="str">
        <f t="shared" ca="1" si="197"/>
        <v/>
      </c>
      <c r="AA396" s="316" t="str">
        <f t="shared" ca="1" si="198"/>
        <v/>
      </c>
      <c r="AC396" s="310" t="e">
        <f t="shared" ca="1" si="199"/>
        <v>#N/A</v>
      </c>
      <c r="AD396" s="323" t="e">
        <f t="shared" ca="1" si="200"/>
        <v>#N/A</v>
      </c>
      <c r="AE396" s="324" t="e">
        <f t="shared" ca="1" si="179"/>
        <v>#N/A</v>
      </c>
      <c r="AG396" s="306">
        <f t="shared" ca="1" si="201"/>
        <v>1.4842517182813495</v>
      </c>
      <c r="AH396" s="304">
        <f t="shared" ca="1" si="202"/>
        <v>-8.300471595159177</v>
      </c>
    </row>
    <row r="397" spans="1:34" x14ac:dyDescent="0.3">
      <c r="A397" s="347">
        <f t="shared" ca="1" si="180"/>
        <v>1E-4</v>
      </c>
      <c r="B397" s="304">
        <f t="shared" ca="1" si="181"/>
        <v>16.10519999999995</v>
      </c>
      <c r="D397" s="306">
        <f t="shared" ca="1" si="182"/>
        <v>-0.59546736543327783</v>
      </c>
      <c r="E397" s="307">
        <f t="shared" ca="1" si="183"/>
        <v>-1.5308634847643177</v>
      </c>
      <c r="F397" s="304">
        <f t="shared" ca="1" si="184"/>
        <v>1.642596844110203</v>
      </c>
      <c r="G397" s="306">
        <f t="shared" ca="1" si="185"/>
        <v>3.7512597499129368</v>
      </c>
      <c r="H397" s="307">
        <f t="shared" ca="1" si="186"/>
        <v>-52.156973715133965</v>
      </c>
      <c r="I397" s="304">
        <f t="shared" ca="1" si="187"/>
        <v>52.291699693474222</v>
      </c>
      <c r="J397" s="306">
        <f t="shared" ca="1" si="188"/>
        <v>150.09587023194715</v>
      </c>
      <c r="K397" s="307">
        <f t="shared" ca="1" si="189"/>
        <v>-3.0953518667511468</v>
      </c>
      <c r="L397" s="304">
        <f t="shared" ca="1" si="174"/>
        <v>150.12778378389697</v>
      </c>
      <c r="M397" s="306">
        <f t="shared" ca="1" si="190"/>
        <v>-1.4989974616428163</v>
      </c>
      <c r="N397" s="304">
        <f t="shared" ca="1" si="191"/>
        <v>-85.886228052956881</v>
      </c>
      <c r="P397" s="310">
        <f t="shared" ca="1" si="192"/>
        <v>23</v>
      </c>
      <c r="Q397" s="304">
        <f t="shared" ca="1" si="193"/>
        <v>0</v>
      </c>
      <c r="R397" s="306">
        <f t="shared" ca="1" si="194"/>
        <v>0</v>
      </c>
      <c r="S397" s="307">
        <f t="shared" ca="1" si="195"/>
        <v>0.4270000000000001</v>
      </c>
      <c r="T397" s="304">
        <f t="shared" ca="1" si="175"/>
        <v>4.1888700000000014</v>
      </c>
      <c r="U397" s="311">
        <f t="shared" ca="1" si="176"/>
        <v>0</v>
      </c>
      <c r="V397" s="306">
        <f t="shared" ca="1" si="177"/>
        <v>1.2253792392976306</v>
      </c>
      <c r="W397" s="304">
        <f t="shared" ca="1" si="178"/>
        <v>3.5443453087292509</v>
      </c>
      <c r="Y397" s="314" t="str">
        <f t="shared" ca="1" si="196"/>
        <v/>
      </c>
      <c r="Z397" s="315" t="str">
        <f t="shared" ca="1" si="197"/>
        <v/>
      </c>
      <c r="AA397" s="316" t="str">
        <f t="shared" ca="1" si="198"/>
        <v/>
      </c>
      <c r="AC397" s="310" t="e">
        <f t="shared" ca="1" si="199"/>
        <v>#N/A</v>
      </c>
      <c r="AD397" s="323" t="e">
        <f t="shared" ca="1" si="200"/>
        <v>#N/A</v>
      </c>
      <c r="AE397" s="324" t="e">
        <f t="shared" ca="1" si="179"/>
        <v>#N/A</v>
      </c>
      <c r="AG397" s="306">
        <f t="shared" ca="1" si="201"/>
        <v>1.4842012155633899</v>
      </c>
      <c r="AH397" s="304">
        <f t="shared" ca="1" si="202"/>
        <v>-8.3005230450378793</v>
      </c>
    </row>
    <row r="398" spans="1:34" x14ac:dyDescent="0.3">
      <c r="A398" s="347">
        <f t="shared" ca="1" si="180"/>
        <v>1E-4</v>
      </c>
      <c r="B398" s="304">
        <f t="shared" ca="1" si="181"/>
        <v>16.10529999999995</v>
      </c>
      <c r="D398" s="306">
        <f t="shared" ca="1" si="182"/>
        <v>-0.59545991392871189</v>
      </c>
      <c r="E398" s="307">
        <f t="shared" ca="1" si="183"/>
        <v>-1.5308113674568649</v>
      </c>
      <c r="F398" s="304">
        <f t="shared" ca="1" si="184"/>
        <v>1.6425455707015089</v>
      </c>
      <c r="G398" s="306">
        <f t="shared" ca="1" si="185"/>
        <v>3.751200203921544</v>
      </c>
      <c r="H398" s="307">
        <f t="shared" ca="1" si="186"/>
        <v>-52.15712679627071</v>
      </c>
      <c r="I398" s="304">
        <f t="shared" ca="1" si="187"/>
        <v>52.291848108592994</v>
      </c>
      <c r="J398" s="306">
        <f t="shared" ca="1" si="188"/>
        <v>150.09587023194715</v>
      </c>
      <c r="K398" s="307">
        <f t="shared" ca="1" si="189"/>
        <v>-3.1005675717767169</v>
      </c>
      <c r="L398" s="304">
        <f t="shared" ca="1" si="174"/>
        <v>150.12789141246429</v>
      </c>
      <c r="M398" s="306">
        <f t="shared" ca="1" si="190"/>
        <v>-1.4989988074393183</v>
      </c>
      <c r="N398" s="304">
        <f t="shared" ca="1" si="191"/>
        <v>-85.88630516141653</v>
      </c>
      <c r="P398" s="310">
        <f t="shared" ca="1" si="192"/>
        <v>23</v>
      </c>
      <c r="Q398" s="304">
        <f t="shared" ca="1" si="193"/>
        <v>0</v>
      </c>
      <c r="R398" s="306">
        <f t="shared" ca="1" si="194"/>
        <v>0</v>
      </c>
      <c r="S398" s="307">
        <f t="shared" ca="1" si="195"/>
        <v>0.4270000000000001</v>
      </c>
      <c r="T398" s="304">
        <f t="shared" ca="1" si="175"/>
        <v>4.1888700000000014</v>
      </c>
      <c r="U398" s="311">
        <f t="shared" ca="1" si="176"/>
        <v>0</v>
      </c>
      <c r="V398" s="306">
        <f t="shared" ca="1" si="177"/>
        <v>1.225379878419478</v>
      </c>
      <c r="W398" s="304">
        <f t="shared" ca="1" si="178"/>
        <v>3.5443672766272085</v>
      </c>
      <c r="Y398" s="314" t="str">
        <f t="shared" ca="1" si="196"/>
        <v/>
      </c>
      <c r="Z398" s="315" t="str">
        <f t="shared" ca="1" si="197"/>
        <v/>
      </c>
      <c r="AA398" s="316" t="str">
        <f t="shared" ca="1" si="198"/>
        <v/>
      </c>
      <c r="AC398" s="310" t="e">
        <f t="shared" ca="1" si="199"/>
        <v>#N/A</v>
      </c>
      <c r="AD398" s="323" t="e">
        <f t="shared" ca="1" si="200"/>
        <v>#N/A</v>
      </c>
      <c r="AE398" s="324" t="e">
        <f t="shared" ca="1" si="179"/>
        <v>#N/A</v>
      </c>
      <c r="AG398" s="306">
        <f t="shared" ca="1" si="201"/>
        <v>1.4841507142127544</v>
      </c>
      <c r="AH398" s="304">
        <f t="shared" ca="1" si="202"/>
        <v>-8.3005744935111245</v>
      </c>
    </row>
    <row r="399" spans="1:34" x14ac:dyDescent="0.3">
      <c r="A399" s="347">
        <f t="shared" ca="1" si="180"/>
        <v>1E-4</v>
      </c>
      <c r="B399" s="304">
        <f t="shared" ca="1" si="181"/>
        <v>16.10539999999995</v>
      </c>
      <c r="D399" s="306">
        <f t="shared" ca="1" si="182"/>
        <v>-0.59545246242424255</v>
      </c>
      <c r="E399" s="307">
        <f t="shared" ca="1" si="183"/>
        <v>-1.5307592515735529</v>
      </c>
      <c r="F399" s="304">
        <f t="shared" ca="1" si="184"/>
        <v>1.6424942987070357</v>
      </c>
      <c r="G399" s="306">
        <f t="shared" ca="1" si="185"/>
        <v>3.7511406586753013</v>
      </c>
      <c r="H399" s="307">
        <f t="shared" ca="1" si="186"/>
        <v>-52.157279872195865</v>
      </c>
      <c r="I399" s="304">
        <f t="shared" ca="1" si="187"/>
        <v>52.291996518661769</v>
      </c>
      <c r="J399" s="306">
        <f t="shared" ca="1" si="188"/>
        <v>150.09587023194715</v>
      </c>
      <c r="K399" s="307">
        <f t="shared" ca="1" si="189"/>
        <v>-3.1057832921101403</v>
      </c>
      <c r="L399" s="304">
        <f t="shared" ca="1" si="174"/>
        <v>150.1279992224737</v>
      </c>
      <c r="M399" s="306">
        <f t="shared" ca="1" si="190"/>
        <v>-1.4990001532068187</v>
      </c>
      <c r="N399" s="304">
        <f t="shared" ca="1" si="191"/>
        <v>-85.886382268214504</v>
      </c>
      <c r="P399" s="310">
        <f t="shared" ca="1" si="192"/>
        <v>23</v>
      </c>
      <c r="Q399" s="304">
        <f t="shared" ca="1" si="193"/>
        <v>0</v>
      </c>
      <c r="R399" s="306">
        <f t="shared" ca="1" si="194"/>
        <v>0</v>
      </c>
      <c r="S399" s="307">
        <f t="shared" ca="1" si="195"/>
        <v>0.4270000000000001</v>
      </c>
      <c r="T399" s="304">
        <f t="shared" ca="1" si="175"/>
        <v>4.1888700000000014</v>
      </c>
      <c r="U399" s="311">
        <f t="shared" ca="1" si="176"/>
        <v>0</v>
      </c>
      <c r="V399" s="306">
        <f t="shared" ca="1" si="177"/>
        <v>1.2253805175435351</v>
      </c>
      <c r="W399" s="304">
        <f t="shared" ca="1" si="178"/>
        <v>3.544389243925063</v>
      </c>
      <c r="Y399" s="314" t="str">
        <f t="shared" ca="1" si="196"/>
        <v/>
      </c>
      <c r="Z399" s="315" t="str">
        <f t="shared" ca="1" si="197"/>
        <v/>
      </c>
      <c r="AA399" s="316" t="str">
        <f t="shared" ca="1" si="198"/>
        <v/>
      </c>
      <c r="AC399" s="310" t="e">
        <f t="shared" ca="1" si="199"/>
        <v>#N/A</v>
      </c>
      <c r="AD399" s="323" t="e">
        <f t="shared" ca="1" si="200"/>
        <v>#N/A</v>
      </c>
      <c r="AE399" s="324" t="e">
        <f t="shared" ca="1" si="179"/>
        <v>#N/A</v>
      </c>
      <c r="AG399" s="306">
        <f t="shared" ca="1" si="201"/>
        <v>1.4841002142294144</v>
      </c>
      <c r="AH399" s="304">
        <f t="shared" ca="1" si="202"/>
        <v>-8.3006259405789411</v>
      </c>
    </row>
    <row r="400" spans="1:34" x14ac:dyDescent="0.3">
      <c r="A400" s="347">
        <f t="shared" ca="1" si="180"/>
        <v>1E-4</v>
      </c>
      <c r="B400" s="304">
        <f t="shared" ca="1" si="181"/>
        <v>16.10549999999995</v>
      </c>
      <c r="D400" s="306">
        <f t="shared" ca="1" si="182"/>
        <v>-0.59544501091987501</v>
      </c>
      <c r="E400" s="307">
        <f t="shared" ca="1" si="183"/>
        <v>-1.5307071371143444</v>
      </c>
      <c r="F400" s="304">
        <f t="shared" ca="1" si="184"/>
        <v>1.6424430281267481</v>
      </c>
      <c r="G400" s="306">
        <f t="shared" ca="1" si="185"/>
        <v>3.7510811141742093</v>
      </c>
      <c r="H400" s="307">
        <f t="shared" ca="1" si="186"/>
        <v>-52.15743294290958</v>
      </c>
      <c r="I400" s="304">
        <f t="shared" ca="1" si="187"/>
        <v>52.292144923680688</v>
      </c>
      <c r="J400" s="306">
        <f t="shared" ca="1" si="188"/>
        <v>150.09587023194715</v>
      </c>
      <c r="K400" s="307">
        <f t="shared" ca="1" si="189"/>
        <v>-3.1109990277508954</v>
      </c>
      <c r="L400" s="304">
        <f t="shared" ca="1" si="174"/>
        <v>150.1281072139264</v>
      </c>
      <c r="M400" s="306">
        <f t="shared" ca="1" si="190"/>
        <v>-1.4990014989453184</v>
      </c>
      <c r="N400" s="304">
        <f t="shared" ca="1" si="191"/>
        <v>-85.886459373350874</v>
      </c>
      <c r="P400" s="310">
        <f t="shared" ca="1" si="192"/>
        <v>23</v>
      </c>
      <c r="Q400" s="304">
        <f t="shared" ca="1" si="193"/>
        <v>0</v>
      </c>
      <c r="R400" s="306">
        <f t="shared" ca="1" si="194"/>
        <v>0</v>
      </c>
      <c r="S400" s="307">
        <f t="shared" ca="1" si="195"/>
        <v>0.4270000000000001</v>
      </c>
      <c r="T400" s="304">
        <f t="shared" ca="1" si="175"/>
        <v>4.1888700000000014</v>
      </c>
      <c r="U400" s="311">
        <f t="shared" ca="1" si="176"/>
        <v>0</v>
      </c>
      <c r="V400" s="306">
        <f t="shared" ca="1" si="177"/>
        <v>1.225381156669801</v>
      </c>
      <c r="W400" s="304">
        <f t="shared" ca="1" si="178"/>
        <v>3.5444112106228234</v>
      </c>
      <c r="Y400" s="314" t="str">
        <f t="shared" ca="1" si="196"/>
        <v/>
      </c>
      <c r="Z400" s="315" t="str">
        <f t="shared" ca="1" si="197"/>
        <v/>
      </c>
      <c r="AA400" s="316" t="str">
        <f t="shared" ca="1" si="198"/>
        <v/>
      </c>
      <c r="AC400" s="310" t="e">
        <f t="shared" ca="1" si="199"/>
        <v>#N/A</v>
      </c>
      <c r="AD400" s="323" t="e">
        <f t="shared" ca="1" si="200"/>
        <v>#N/A</v>
      </c>
      <c r="AE400" s="324" t="e">
        <f t="shared" ca="1" si="179"/>
        <v>#N/A</v>
      </c>
      <c r="AG400" s="306">
        <f t="shared" ca="1" si="201"/>
        <v>1.4840497156133363</v>
      </c>
      <c r="AH400" s="304">
        <f t="shared" ca="1" si="202"/>
        <v>-8.3006773862413628</v>
      </c>
    </row>
    <row r="401" spans="1:34" x14ac:dyDescent="0.3">
      <c r="A401" s="347">
        <f t="shared" ca="1" si="180"/>
        <v>1E-4</v>
      </c>
      <c r="B401" s="304">
        <f t="shared" ca="1" si="181"/>
        <v>16.105599999999949</v>
      </c>
      <c r="D401" s="306">
        <f t="shared" ca="1" si="182"/>
        <v>-0.59543755941561216</v>
      </c>
      <c r="E401" s="307">
        <f t="shared" ca="1" si="183"/>
        <v>-1.5306550240792163</v>
      </c>
      <c r="F401" s="304">
        <f t="shared" ca="1" si="184"/>
        <v>1.6423917589606223</v>
      </c>
      <c r="G401" s="306">
        <f t="shared" ca="1" si="185"/>
        <v>3.7510215704182679</v>
      </c>
      <c r="H401" s="307">
        <f t="shared" ca="1" si="186"/>
        <v>-52.15758600841199</v>
      </c>
      <c r="I401" s="304">
        <f t="shared" ca="1" si="187"/>
        <v>52.292293323649872</v>
      </c>
      <c r="J401" s="306">
        <f t="shared" ca="1" si="188"/>
        <v>150.09587023194715</v>
      </c>
      <c r="K401" s="307">
        <f t="shared" ca="1" si="189"/>
        <v>-3.1162147786984615</v>
      </c>
      <c r="L401" s="304">
        <f t="shared" ca="1" si="174"/>
        <v>150.1282153868236</v>
      </c>
      <c r="M401" s="306">
        <f t="shared" ca="1" si="190"/>
        <v>-1.4990028446548178</v>
      </c>
      <c r="N401" s="304">
        <f t="shared" ca="1" si="191"/>
        <v>-85.88653647682564</v>
      </c>
      <c r="P401" s="310">
        <f t="shared" ca="1" si="192"/>
        <v>23</v>
      </c>
      <c r="Q401" s="304">
        <f t="shared" ca="1" si="193"/>
        <v>0</v>
      </c>
      <c r="R401" s="306">
        <f t="shared" ca="1" si="194"/>
        <v>0</v>
      </c>
      <c r="S401" s="307">
        <f t="shared" ca="1" si="195"/>
        <v>0.4270000000000001</v>
      </c>
      <c r="T401" s="304">
        <f t="shared" ca="1" si="175"/>
        <v>4.1888700000000014</v>
      </c>
      <c r="U401" s="311">
        <f t="shared" ca="1" si="176"/>
        <v>0</v>
      </c>
      <c r="V401" s="306">
        <f t="shared" ca="1" si="177"/>
        <v>1.2253817957982762</v>
      </c>
      <c r="W401" s="304">
        <f t="shared" ca="1" si="178"/>
        <v>3.5444331767205024</v>
      </c>
      <c r="Y401" s="314" t="str">
        <f t="shared" ca="1" si="196"/>
        <v/>
      </c>
      <c r="Z401" s="315" t="str">
        <f t="shared" ca="1" si="197"/>
        <v/>
      </c>
      <c r="AA401" s="316" t="str">
        <f t="shared" ca="1" si="198"/>
        <v/>
      </c>
      <c r="AC401" s="310" t="e">
        <f t="shared" ca="1" si="199"/>
        <v>#N/A</v>
      </c>
      <c r="AD401" s="323" t="e">
        <f t="shared" ca="1" si="200"/>
        <v>#N/A</v>
      </c>
      <c r="AE401" s="324" t="e">
        <f t="shared" ca="1" si="179"/>
        <v>#N/A</v>
      </c>
      <c r="AG401" s="306">
        <f t="shared" ca="1" si="201"/>
        <v>1.4839992183645041</v>
      </c>
      <c r="AH401" s="304">
        <f t="shared" ca="1" si="202"/>
        <v>-8.3007288304984126</v>
      </c>
    </row>
    <row r="402" spans="1:34" x14ac:dyDescent="0.3">
      <c r="A402" s="347">
        <f t="shared" ca="1" si="180"/>
        <v>1E-4</v>
      </c>
      <c r="B402" s="304">
        <f t="shared" ca="1" si="181"/>
        <v>16.105699999999949</v>
      </c>
      <c r="D402" s="306">
        <f t="shared" ca="1" si="182"/>
        <v>-0.59543010791146433</v>
      </c>
      <c r="E402" s="307">
        <f t="shared" ca="1" si="183"/>
        <v>-1.5306029124681402</v>
      </c>
      <c r="F402" s="304">
        <f t="shared" ca="1" si="184"/>
        <v>1.6423404912086321</v>
      </c>
      <c r="G402" s="306">
        <f t="shared" ca="1" si="185"/>
        <v>3.7509620274074766</v>
      </c>
      <c r="H402" s="307">
        <f t="shared" ca="1" si="186"/>
        <v>-52.157739068703236</v>
      </c>
      <c r="I402" s="304">
        <f t="shared" ca="1" si="187"/>
        <v>52.292441718569471</v>
      </c>
      <c r="J402" s="306">
        <f t="shared" ca="1" si="188"/>
        <v>150.09587023194715</v>
      </c>
      <c r="K402" s="307">
        <f t="shared" ca="1" si="189"/>
        <v>-3.1214305449523172</v>
      </c>
      <c r="L402" s="304">
        <f t="shared" ca="1" si="174"/>
        <v>150.12832374116644</v>
      </c>
      <c r="M402" s="306">
        <f t="shared" ca="1" si="190"/>
        <v>-1.4990041903353184</v>
      </c>
      <c r="N402" s="304">
        <f t="shared" ca="1" si="191"/>
        <v>-85.886613578638887</v>
      </c>
      <c r="P402" s="310">
        <f t="shared" ca="1" si="192"/>
        <v>23</v>
      </c>
      <c r="Q402" s="304">
        <f t="shared" ca="1" si="193"/>
        <v>0</v>
      </c>
      <c r="R402" s="306">
        <f t="shared" ca="1" si="194"/>
        <v>0</v>
      </c>
      <c r="S402" s="307">
        <f t="shared" ca="1" si="195"/>
        <v>0.4270000000000001</v>
      </c>
      <c r="T402" s="304">
        <f t="shared" ca="1" si="175"/>
        <v>4.1888700000000014</v>
      </c>
      <c r="U402" s="311">
        <f t="shared" ca="1" si="176"/>
        <v>0</v>
      </c>
      <c r="V402" s="306">
        <f t="shared" ca="1" si="177"/>
        <v>1.2253824349289604</v>
      </c>
      <c r="W402" s="304">
        <f t="shared" ca="1" si="178"/>
        <v>3.5444551422181103</v>
      </c>
      <c r="Y402" s="314" t="str">
        <f t="shared" ca="1" si="196"/>
        <v/>
      </c>
      <c r="Z402" s="315" t="str">
        <f t="shared" ca="1" si="197"/>
        <v/>
      </c>
      <c r="AA402" s="316" t="str">
        <f t="shared" ca="1" si="198"/>
        <v/>
      </c>
      <c r="AC402" s="310" t="e">
        <f t="shared" ca="1" si="199"/>
        <v>#N/A</v>
      </c>
      <c r="AD402" s="323" t="e">
        <f t="shared" ca="1" si="200"/>
        <v>#N/A</v>
      </c>
      <c r="AE402" s="324" t="e">
        <f t="shared" ca="1" si="179"/>
        <v>#N/A</v>
      </c>
      <c r="AG402" s="306">
        <f t="shared" ca="1" si="201"/>
        <v>1.4839487224828858</v>
      </c>
      <c r="AH402" s="304">
        <f t="shared" ca="1" si="202"/>
        <v>-8.3007802733501208</v>
      </c>
    </row>
    <row r="403" spans="1:34" x14ac:dyDescent="0.3">
      <c r="A403" s="347">
        <f t="shared" ca="1" si="180"/>
        <v>1E-4</v>
      </c>
      <c r="B403" s="304">
        <f t="shared" ca="1" si="181"/>
        <v>16.105799999999949</v>
      </c>
      <c r="D403" s="306">
        <f t="shared" ca="1" si="182"/>
        <v>-0.59542265640743053</v>
      </c>
      <c r="E403" s="307">
        <f t="shared" ca="1" si="183"/>
        <v>-1.530550802281093</v>
      </c>
      <c r="F403" s="304">
        <f t="shared" ca="1" si="184"/>
        <v>1.6422892248707528</v>
      </c>
      <c r="G403" s="306">
        <f t="shared" ca="1" si="185"/>
        <v>3.750902485141836</v>
      </c>
      <c r="H403" s="307">
        <f t="shared" ca="1" si="186"/>
        <v>-52.157892123783462</v>
      </c>
      <c r="I403" s="304">
        <f t="shared" ca="1" si="187"/>
        <v>52.292590108439612</v>
      </c>
      <c r="J403" s="306">
        <f t="shared" ca="1" si="188"/>
        <v>150.09587023194715</v>
      </c>
      <c r="K403" s="307">
        <f t="shared" ca="1" si="189"/>
        <v>-3.1266463265119415</v>
      </c>
      <c r="L403" s="304">
        <f t="shared" ca="1" si="174"/>
        <v>150.12843227695615</v>
      </c>
      <c r="M403" s="306">
        <f t="shared" ca="1" si="190"/>
        <v>-1.4990055359868204</v>
      </c>
      <c r="N403" s="304">
        <f t="shared" ca="1" si="191"/>
        <v>-85.886690678790657</v>
      </c>
      <c r="P403" s="310">
        <f t="shared" ca="1" si="192"/>
        <v>23</v>
      </c>
      <c r="Q403" s="304">
        <f t="shared" ca="1" si="193"/>
        <v>0</v>
      </c>
      <c r="R403" s="306">
        <f t="shared" ca="1" si="194"/>
        <v>0</v>
      </c>
      <c r="S403" s="307">
        <f t="shared" ca="1" si="195"/>
        <v>0.4270000000000001</v>
      </c>
      <c r="T403" s="304">
        <f t="shared" ca="1" si="175"/>
        <v>4.1888700000000014</v>
      </c>
      <c r="U403" s="311">
        <f t="shared" ca="1" si="176"/>
        <v>0</v>
      </c>
      <c r="V403" s="306">
        <f t="shared" ca="1" si="177"/>
        <v>1.2253830740618532</v>
      </c>
      <c r="W403" s="304">
        <f t="shared" ca="1" si="178"/>
        <v>3.5444771071156596</v>
      </c>
      <c r="Y403" s="314" t="str">
        <f t="shared" ca="1" si="196"/>
        <v/>
      </c>
      <c r="Z403" s="315" t="str">
        <f t="shared" ca="1" si="197"/>
        <v/>
      </c>
      <c r="AA403" s="316" t="str">
        <f t="shared" ca="1" si="198"/>
        <v/>
      </c>
      <c r="AC403" s="310" t="e">
        <f t="shared" ca="1" si="199"/>
        <v>#N/A</v>
      </c>
      <c r="AD403" s="323" t="e">
        <f t="shared" ca="1" si="200"/>
        <v>#N/A</v>
      </c>
      <c r="AE403" s="324" t="e">
        <f t="shared" ca="1" si="179"/>
        <v>#N/A</v>
      </c>
      <c r="AG403" s="306">
        <f t="shared" ca="1" si="201"/>
        <v>1.4838982279684618</v>
      </c>
      <c r="AH403" s="304">
        <f t="shared" ca="1" si="202"/>
        <v>-8.3008317147965087</v>
      </c>
    </row>
    <row r="404" spans="1:34" x14ac:dyDescent="0.3">
      <c r="A404" s="347">
        <f t="shared" ca="1" si="180"/>
        <v>1E-4</v>
      </c>
      <c r="B404" s="304">
        <f t="shared" ca="1" si="181"/>
        <v>16.105899999999949</v>
      </c>
      <c r="D404" s="306">
        <f t="shared" ca="1" si="182"/>
        <v>-0.59541520490352118</v>
      </c>
      <c r="E404" s="307">
        <f t="shared" ca="1" si="183"/>
        <v>-1.5304986935180427</v>
      </c>
      <c r="F404" s="304">
        <f t="shared" ca="1" si="184"/>
        <v>1.6422379599469554</v>
      </c>
      <c r="G404" s="306">
        <f t="shared" ca="1" si="185"/>
        <v>3.7508429436213455</v>
      </c>
      <c r="H404" s="307">
        <f t="shared" ca="1" si="186"/>
        <v>-52.158045173652816</v>
      </c>
      <c r="I404" s="304">
        <f t="shared" ca="1" si="187"/>
        <v>52.292738493260437</v>
      </c>
      <c r="J404" s="306">
        <f t="shared" ca="1" si="188"/>
        <v>150.09587023194715</v>
      </c>
      <c r="K404" s="307">
        <f t="shared" ca="1" si="189"/>
        <v>-3.1318621233768131</v>
      </c>
      <c r="L404" s="304">
        <f t="shared" ca="1" si="174"/>
        <v>150.12854099419388</v>
      </c>
      <c r="M404" s="306">
        <f t="shared" ca="1" si="190"/>
        <v>-1.4990068816093252</v>
      </c>
      <c r="N404" s="304">
        <f t="shared" ca="1" si="191"/>
        <v>-85.886767777280994</v>
      </c>
      <c r="P404" s="310">
        <f t="shared" ca="1" si="192"/>
        <v>23</v>
      </c>
      <c r="Q404" s="304">
        <f t="shared" ca="1" si="193"/>
        <v>0</v>
      </c>
      <c r="R404" s="306">
        <f t="shared" ca="1" si="194"/>
        <v>0</v>
      </c>
      <c r="S404" s="307">
        <f t="shared" ca="1" si="195"/>
        <v>0.4270000000000001</v>
      </c>
      <c r="T404" s="304">
        <f t="shared" ca="1" si="175"/>
        <v>4.1888700000000014</v>
      </c>
      <c r="U404" s="311">
        <f t="shared" ca="1" si="176"/>
        <v>0</v>
      </c>
      <c r="V404" s="306">
        <f t="shared" ca="1" si="177"/>
        <v>1.2253837131969552</v>
      </c>
      <c r="W404" s="304">
        <f t="shared" ca="1" si="178"/>
        <v>3.5444990714131612</v>
      </c>
      <c r="Y404" s="314" t="str">
        <f t="shared" ca="1" si="196"/>
        <v/>
      </c>
      <c r="Z404" s="315" t="str">
        <f t="shared" ca="1" si="197"/>
        <v/>
      </c>
      <c r="AA404" s="316" t="str">
        <f t="shared" ca="1" si="198"/>
        <v/>
      </c>
      <c r="AC404" s="310" t="e">
        <f t="shared" ca="1" si="199"/>
        <v>#N/A</v>
      </c>
      <c r="AD404" s="323" t="e">
        <f t="shared" ca="1" si="200"/>
        <v>#N/A</v>
      </c>
      <c r="AE404" s="324" t="e">
        <f t="shared" ca="1" si="179"/>
        <v>#N/A</v>
      </c>
      <c r="AG404" s="306">
        <f t="shared" ca="1" si="201"/>
        <v>1.483847734821202</v>
      </c>
      <c r="AH404" s="304">
        <f t="shared" ca="1" si="202"/>
        <v>-8.3008831548376083</v>
      </c>
    </row>
    <row r="405" spans="1:34" x14ac:dyDescent="0.3">
      <c r="A405" s="347">
        <f t="shared" ca="1" si="180"/>
        <v>1E-4</v>
      </c>
      <c r="B405" s="304">
        <f t="shared" ca="1" si="181"/>
        <v>16.105999999999948</v>
      </c>
      <c r="D405" s="306">
        <f t="shared" ca="1" si="182"/>
        <v>-0.59540775339973717</v>
      </c>
      <c r="E405" s="307">
        <f t="shared" ca="1" si="183"/>
        <v>-1.5304465861789645</v>
      </c>
      <c r="F405" s="304">
        <f t="shared" ca="1" si="184"/>
        <v>1.6421866964372134</v>
      </c>
      <c r="G405" s="306">
        <f t="shared" ca="1" si="185"/>
        <v>3.7507834028460056</v>
      </c>
      <c r="H405" s="307">
        <f t="shared" ca="1" si="186"/>
        <v>-52.158198218311433</v>
      </c>
      <c r="I405" s="304">
        <f t="shared" ca="1" si="187"/>
        <v>52.292886873032081</v>
      </c>
      <c r="J405" s="306">
        <f t="shared" ca="1" si="188"/>
        <v>150.09587023194715</v>
      </c>
      <c r="K405" s="307">
        <f t="shared" ca="1" si="189"/>
        <v>-3.1370779355464116</v>
      </c>
      <c r="L405" s="304">
        <f t="shared" ca="1" si="174"/>
        <v>150.1286498928809</v>
      </c>
      <c r="M405" s="306">
        <f t="shared" ca="1" si="190"/>
        <v>-1.4990082272028331</v>
      </c>
      <c r="N405" s="304">
        <f t="shared" ca="1" si="191"/>
        <v>-85.88684487410994</v>
      </c>
      <c r="P405" s="310">
        <f t="shared" ca="1" si="192"/>
        <v>23</v>
      </c>
      <c r="Q405" s="304">
        <f t="shared" ca="1" si="193"/>
        <v>0</v>
      </c>
      <c r="R405" s="306">
        <f t="shared" ca="1" si="194"/>
        <v>0</v>
      </c>
      <c r="S405" s="307">
        <f t="shared" ca="1" si="195"/>
        <v>0.4270000000000001</v>
      </c>
      <c r="T405" s="304">
        <f t="shared" ca="1" si="175"/>
        <v>4.1888700000000014</v>
      </c>
      <c r="U405" s="311">
        <f t="shared" ca="1" si="176"/>
        <v>0</v>
      </c>
      <c r="V405" s="306">
        <f t="shared" ca="1" si="177"/>
        <v>1.2253843523342658</v>
      </c>
      <c r="W405" s="304">
        <f t="shared" ca="1" si="178"/>
        <v>3.5445210351106278</v>
      </c>
      <c r="Y405" s="314" t="str">
        <f t="shared" ca="1" si="196"/>
        <v/>
      </c>
      <c r="Z405" s="315" t="str">
        <f t="shared" ca="1" si="197"/>
        <v/>
      </c>
      <c r="AA405" s="316" t="str">
        <f t="shared" ca="1" si="198"/>
        <v/>
      </c>
      <c r="AC405" s="310" t="e">
        <f t="shared" ca="1" si="199"/>
        <v>#N/A</v>
      </c>
      <c r="AD405" s="323" t="e">
        <f t="shared" ca="1" si="200"/>
        <v>#N/A</v>
      </c>
      <c r="AE405" s="324" t="e">
        <f t="shared" ca="1" si="179"/>
        <v>#N/A</v>
      </c>
      <c r="AG405" s="306">
        <f t="shared" ca="1" si="201"/>
        <v>1.4837972430410868</v>
      </c>
      <c r="AH405" s="304">
        <f t="shared" ca="1" si="202"/>
        <v>-8.3009345934734426</v>
      </c>
    </row>
    <row r="406" spans="1:34" x14ac:dyDescent="0.3">
      <c r="A406" s="347">
        <f t="shared" ca="1" si="180"/>
        <v>1E-4</v>
      </c>
      <c r="B406" s="304">
        <f t="shared" ca="1" si="181"/>
        <v>16.106099999999948</v>
      </c>
      <c r="D406" s="306">
        <f t="shared" ca="1" si="182"/>
        <v>-0.59540030189608739</v>
      </c>
      <c r="E406" s="307">
        <f t="shared" ca="1" si="183"/>
        <v>-1.5303944802638263</v>
      </c>
      <c r="F406" s="304">
        <f t="shared" ca="1" si="184"/>
        <v>1.6421354343414976</v>
      </c>
      <c r="G406" s="306">
        <f t="shared" ca="1" si="185"/>
        <v>3.7507238628158159</v>
      </c>
      <c r="H406" s="307">
        <f t="shared" ca="1" si="186"/>
        <v>-52.158351257759463</v>
      </c>
      <c r="I406" s="304">
        <f t="shared" ca="1" si="187"/>
        <v>52.293035247754688</v>
      </c>
      <c r="J406" s="306">
        <f t="shared" ca="1" si="188"/>
        <v>150.09587023194715</v>
      </c>
      <c r="K406" s="307">
        <f t="shared" ca="1" si="189"/>
        <v>-3.142293763020215</v>
      </c>
      <c r="L406" s="304">
        <f t="shared" ca="1" si="174"/>
        <v>150.12875897301834</v>
      </c>
      <c r="M406" s="306">
        <f t="shared" ca="1" si="190"/>
        <v>-1.4990095727673451</v>
      </c>
      <c r="N406" s="304">
        <f t="shared" ca="1" si="191"/>
        <v>-85.886921969277537</v>
      </c>
      <c r="P406" s="310">
        <f t="shared" ca="1" si="192"/>
        <v>23</v>
      </c>
      <c r="Q406" s="304">
        <f t="shared" ca="1" si="193"/>
        <v>0</v>
      </c>
      <c r="R406" s="306">
        <f t="shared" ca="1" si="194"/>
        <v>0</v>
      </c>
      <c r="S406" s="307">
        <f t="shared" ca="1" si="195"/>
        <v>0.4270000000000001</v>
      </c>
      <c r="T406" s="304">
        <f t="shared" ca="1" si="175"/>
        <v>4.1888700000000014</v>
      </c>
      <c r="U406" s="311">
        <f t="shared" ca="1" si="176"/>
        <v>0</v>
      </c>
      <c r="V406" s="306">
        <f t="shared" ca="1" si="177"/>
        <v>1.2253849914737853</v>
      </c>
      <c r="W406" s="304">
        <f t="shared" ca="1" si="178"/>
        <v>3.5445429982080707</v>
      </c>
      <c r="Y406" s="314" t="str">
        <f t="shared" ca="1" si="196"/>
        <v/>
      </c>
      <c r="Z406" s="315" t="str">
        <f t="shared" ca="1" si="197"/>
        <v/>
      </c>
      <c r="AA406" s="316" t="str">
        <f t="shared" ca="1" si="198"/>
        <v/>
      </c>
      <c r="AC406" s="310" t="e">
        <f t="shared" ca="1" si="199"/>
        <v>#N/A</v>
      </c>
      <c r="AD406" s="323" t="e">
        <f t="shared" ca="1" si="200"/>
        <v>#N/A</v>
      </c>
      <c r="AE406" s="324" t="e">
        <f t="shared" ca="1" si="179"/>
        <v>#N/A</v>
      </c>
      <c r="AG406" s="306">
        <f t="shared" ca="1" si="201"/>
        <v>1.4837467526280825</v>
      </c>
      <c r="AH406" s="304">
        <f t="shared" ca="1" si="202"/>
        <v>-8.3009860307040437</v>
      </c>
    </row>
    <row r="407" spans="1:34" x14ac:dyDescent="0.3">
      <c r="A407" s="347">
        <f t="shared" ca="1" si="180"/>
        <v>1E-4</v>
      </c>
      <c r="B407" s="304">
        <f t="shared" ca="1" si="181"/>
        <v>16.106199999999948</v>
      </c>
      <c r="D407" s="306">
        <f t="shared" ca="1" si="182"/>
        <v>-0.59539285039257661</v>
      </c>
      <c r="E407" s="307">
        <f t="shared" ca="1" si="183"/>
        <v>-1.5303423757726033</v>
      </c>
      <c r="F407" s="304">
        <f t="shared" ca="1" si="184"/>
        <v>1.6420841736597833</v>
      </c>
      <c r="G407" s="306">
        <f t="shared" ca="1" si="185"/>
        <v>3.7506643235307768</v>
      </c>
      <c r="H407" s="307">
        <f t="shared" ca="1" si="186"/>
        <v>-52.158504291997041</v>
      </c>
      <c r="I407" s="304">
        <f t="shared" ca="1" si="187"/>
        <v>52.293183617428383</v>
      </c>
      <c r="J407" s="306">
        <f t="shared" ca="1" si="188"/>
        <v>150.09587023194715</v>
      </c>
      <c r="K407" s="307">
        <f t="shared" ca="1" si="189"/>
        <v>-3.147509605797703</v>
      </c>
      <c r="L407" s="304">
        <f t="shared" ca="1" si="174"/>
        <v>150.12886823460738</v>
      </c>
      <c r="M407" s="306">
        <f t="shared" ca="1" si="190"/>
        <v>-1.4990109183028624</v>
      </c>
      <c r="N407" s="304">
        <f t="shared" ca="1" si="191"/>
        <v>-85.886999062783858</v>
      </c>
      <c r="P407" s="310">
        <f t="shared" ca="1" si="192"/>
        <v>23</v>
      </c>
      <c r="Q407" s="304">
        <f t="shared" ca="1" si="193"/>
        <v>0</v>
      </c>
      <c r="R407" s="306">
        <f t="shared" ca="1" si="194"/>
        <v>0</v>
      </c>
      <c r="S407" s="307">
        <f t="shared" ca="1" si="195"/>
        <v>0.4270000000000001</v>
      </c>
      <c r="T407" s="304">
        <f t="shared" ca="1" si="175"/>
        <v>4.1888700000000014</v>
      </c>
      <c r="U407" s="311">
        <f t="shared" ca="1" si="176"/>
        <v>0</v>
      </c>
      <c r="V407" s="306">
        <f t="shared" ca="1" si="177"/>
        <v>1.2253856306155138</v>
      </c>
      <c r="W407" s="304">
        <f t="shared" ca="1" si="178"/>
        <v>3.544564960705503</v>
      </c>
      <c r="Y407" s="314" t="str">
        <f t="shared" ca="1" si="196"/>
        <v/>
      </c>
      <c r="Z407" s="315" t="str">
        <f t="shared" ca="1" si="197"/>
        <v/>
      </c>
      <c r="AA407" s="316" t="str">
        <f t="shared" ca="1" si="198"/>
        <v/>
      </c>
      <c r="AC407" s="310" t="e">
        <f t="shared" ca="1" si="199"/>
        <v>#N/A</v>
      </c>
      <c r="AD407" s="323" t="e">
        <f t="shared" ca="1" si="200"/>
        <v>#N/A</v>
      </c>
      <c r="AE407" s="324" t="e">
        <f t="shared" ca="1" si="179"/>
        <v>#N/A</v>
      </c>
      <c r="AG407" s="306">
        <f t="shared" ca="1" si="201"/>
        <v>1.4836962635821678</v>
      </c>
      <c r="AH407" s="304">
        <f t="shared" ca="1" si="202"/>
        <v>-8.3010374665294382</v>
      </c>
    </row>
    <row r="408" spans="1:34" x14ac:dyDescent="0.3">
      <c r="A408" s="347">
        <f t="shared" ca="1" si="180"/>
        <v>1E-4</v>
      </c>
      <c r="B408" s="304">
        <f t="shared" ca="1" si="181"/>
        <v>16.106299999999948</v>
      </c>
      <c r="D408" s="306">
        <f t="shared" ca="1" si="182"/>
        <v>-0.59538539888920783</v>
      </c>
      <c r="E408" s="307">
        <f t="shared" ca="1" si="183"/>
        <v>-1.5302902727052636</v>
      </c>
      <c r="F408" s="304">
        <f t="shared" ca="1" si="184"/>
        <v>1.6420329143920382</v>
      </c>
      <c r="G408" s="306">
        <f t="shared" ca="1" si="185"/>
        <v>3.7506047849908879</v>
      </c>
      <c r="H408" s="307">
        <f t="shared" ca="1" si="186"/>
        <v>-52.158657321024315</v>
      </c>
      <c r="I408" s="304">
        <f t="shared" ca="1" si="187"/>
        <v>52.29333198205331</v>
      </c>
      <c r="J408" s="306">
        <f t="shared" ca="1" si="188"/>
        <v>150.09587023194715</v>
      </c>
      <c r="K408" s="307">
        <f t="shared" ca="1" si="189"/>
        <v>-3.1527254638783542</v>
      </c>
      <c r="L408" s="304">
        <f t="shared" ca="1" si="174"/>
        <v>150.12897767764923</v>
      </c>
      <c r="M408" s="306">
        <f t="shared" ca="1" si="190"/>
        <v>-1.4990122638093855</v>
      </c>
      <c r="N408" s="304">
        <f t="shared" ca="1" si="191"/>
        <v>-85.887076154628943</v>
      </c>
      <c r="P408" s="310">
        <f t="shared" ca="1" si="192"/>
        <v>23</v>
      </c>
      <c r="Q408" s="304">
        <f t="shared" ca="1" si="193"/>
        <v>0</v>
      </c>
      <c r="R408" s="306">
        <f t="shared" ca="1" si="194"/>
        <v>0</v>
      </c>
      <c r="S408" s="307">
        <f t="shared" ca="1" si="195"/>
        <v>0.4270000000000001</v>
      </c>
      <c r="T408" s="304">
        <f t="shared" ca="1" si="175"/>
        <v>4.1888700000000014</v>
      </c>
      <c r="U408" s="311">
        <f t="shared" ca="1" si="176"/>
        <v>0</v>
      </c>
      <c r="V408" s="306">
        <f t="shared" ca="1" si="177"/>
        <v>1.2253862697594504</v>
      </c>
      <c r="W408" s="304">
        <f t="shared" ca="1" si="178"/>
        <v>3.5445869226029334</v>
      </c>
      <c r="Y408" s="314" t="str">
        <f t="shared" ca="1" si="196"/>
        <v/>
      </c>
      <c r="Z408" s="315" t="str">
        <f t="shared" ca="1" si="197"/>
        <v/>
      </c>
      <c r="AA408" s="316" t="str">
        <f t="shared" ca="1" si="198"/>
        <v/>
      </c>
      <c r="AC408" s="310" t="e">
        <f t="shared" ca="1" si="199"/>
        <v>#N/A</v>
      </c>
      <c r="AD408" s="323" t="e">
        <f t="shared" ca="1" si="200"/>
        <v>#N/A</v>
      </c>
      <c r="AE408" s="324" t="e">
        <f t="shared" ca="1" si="179"/>
        <v>#N/A</v>
      </c>
      <c r="AG408" s="306">
        <f t="shared" ca="1" si="201"/>
        <v>1.4836457759033124</v>
      </c>
      <c r="AH408" s="304">
        <f t="shared" ca="1" si="202"/>
        <v>-8.3010889009496545</v>
      </c>
    </row>
    <row r="409" spans="1:34" x14ac:dyDescent="0.3">
      <c r="A409" s="347">
        <f t="shared" ca="1" si="180"/>
        <v>1E-4</v>
      </c>
      <c r="B409" s="304">
        <f t="shared" ca="1" si="181"/>
        <v>16.106399999999947</v>
      </c>
      <c r="D409" s="306">
        <f t="shared" ca="1" si="182"/>
        <v>-0.59537794738598726</v>
      </c>
      <c r="E409" s="307">
        <f t="shared" ca="1" si="183"/>
        <v>-1.5302381710617876</v>
      </c>
      <c r="F409" s="304">
        <f t="shared" ca="1" si="184"/>
        <v>1.6419816565382441</v>
      </c>
      <c r="G409" s="306">
        <f t="shared" ca="1" si="185"/>
        <v>3.7505452471961491</v>
      </c>
      <c r="H409" s="307">
        <f t="shared" ca="1" si="186"/>
        <v>-52.15881034484142</v>
      </c>
      <c r="I409" s="304">
        <f t="shared" ca="1" si="187"/>
        <v>52.293480341629603</v>
      </c>
      <c r="J409" s="306">
        <f t="shared" ca="1" si="188"/>
        <v>150.09587023194715</v>
      </c>
      <c r="K409" s="307">
        <f t="shared" ca="1" si="189"/>
        <v>-3.1579413372616476</v>
      </c>
      <c r="L409" s="304">
        <f t="shared" ca="1" si="174"/>
        <v>150.12908730214508</v>
      </c>
      <c r="M409" s="306">
        <f t="shared" ca="1" si="190"/>
        <v>-1.4990136092869151</v>
      </c>
      <c r="N409" s="304">
        <f t="shared" ca="1" si="191"/>
        <v>-85.887153244812822</v>
      </c>
      <c r="P409" s="310">
        <f t="shared" ca="1" si="192"/>
        <v>23</v>
      </c>
      <c r="Q409" s="304">
        <f t="shared" ca="1" si="193"/>
        <v>0</v>
      </c>
      <c r="R409" s="306">
        <f t="shared" ca="1" si="194"/>
        <v>0</v>
      </c>
      <c r="S409" s="307">
        <f t="shared" ca="1" si="195"/>
        <v>0.4270000000000001</v>
      </c>
      <c r="T409" s="304">
        <f t="shared" ca="1" si="175"/>
        <v>4.1888700000000014</v>
      </c>
      <c r="U409" s="311">
        <f t="shared" ca="1" si="176"/>
        <v>0</v>
      </c>
      <c r="V409" s="306">
        <f t="shared" ca="1" si="177"/>
        <v>1.2253869089055958</v>
      </c>
      <c r="W409" s="304">
        <f t="shared" ca="1" si="178"/>
        <v>3.5446088839003762</v>
      </c>
      <c r="Y409" s="314" t="str">
        <f t="shared" ca="1" si="196"/>
        <v/>
      </c>
      <c r="Z409" s="315" t="str">
        <f t="shared" ca="1" si="197"/>
        <v/>
      </c>
      <c r="AA409" s="316" t="str">
        <f t="shared" ca="1" si="198"/>
        <v/>
      </c>
      <c r="AC409" s="310" t="e">
        <f t="shared" ca="1" si="199"/>
        <v>#N/A</v>
      </c>
      <c r="AD409" s="323" t="e">
        <f t="shared" ca="1" si="200"/>
        <v>#N/A</v>
      </c>
      <c r="AE409" s="324" t="e">
        <f t="shared" ca="1" si="179"/>
        <v>#N/A</v>
      </c>
      <c r="AG409" s="306">
        <f t="shared" ca="1" si="201"/>
        <v>1.4835952895915021</v>
      </c>
      <c r="AH409" s="304">
        <f t="shared" ca="1" si="202"/>
        <v>-8.3011403339647138</v>
      </c>
    </row>
    <row r="410" spans="1:34" x14ac:dyDescent="0.3">
      <c r="A410" s="347">
        <f t="shared" ca="1" si="180"/>
        <v>1E-4</v>
      </c>
      <c r="B410" s="304">
        <f t="shared" ca="1" si="181"/>
        <v>16.106499999999947</v>
      </c>
      <c r="D410" s="306">
        <f t="shared" ca="1" si="182"/>
        <v>-0.5953704958829219</v>
      </c>
      <c r="E410" s="307">
        <f t="shared" ca="1" si="183"/>
        <v>-1.5301860708421415</v>
      </c>
      <c r="F410" s="304">
        <f t="shared" ca="1" si="184"/>
        <v>1.6419304000983683</v>
      </c>
      <c r="G410" s="306">
        <f t="shared" ca="1" si="185"/>
        <v>3.750485710146561</v>
      </c>
      <c r="H410" s="307">
        <f t="shared" ca="1" si="186"/>
        <v>-52.158963363448507</v>
      </c>
      <c r="I410" s="304">
        <f t="shared" ca="1" si="187"/>
        <v>52.293628696157405</v>
      </c>
      <c r="J410" s="306">
        <f t="shared" ca="1" si="188"/>
        <v>150.09587023194715</v>
      </c>
      <c r="K410" s="307">
        <f t="shared" ca="1" si="189"/>
        <v>-3.1631572259470619</v>
      </c>
      <c r="L410" s="304">
        <f t="shared" ca="1" si="174"/>
        <v>150.12919710809612</v>
      </c>
      <c r="M410" s="306">
        <f t="shared" ca="1" si="190"/>
        <v>-1.4990149547354523</v>
      </c>
      <c r="N410" s="304">
        <f t="shared" ca="1" si="191"/>
        <v>-85.887230333335552</v>
      </c>
      <c r="P410" s="310">
        <f t="shared" ca="1" si="192"/>
        <v>23</v>
      </c>
      <c r="Q410" s="304">
        <f t="shared" ca="1" si="193"/>
        <v>0</v>
      </c>
      <c r="R410" s="306">
        <f t="shared" ca="1" si="194"/>
        <v>0</v>
      </c>
      <c r="S410" s="307">
        <f t="shared" ca="1" si="195"/>
        <v>0.4270000000000001</v>
      </c>
      <c r="T410" s="304">
        <f t="shared" ca="1" si="175"/>
        <v>4.1888700000000014</v>
      </c>
      <c r="U410" s="311">
        <f t="shared" ca="1" si="176"/>
        <v>0</v>
      </c>
      <c r="V410" s="306">
        <f t="shared" ca="1" si="177"/>
        <v>1.2253875480539498</v>
      </c>
      <c r="W410" s="304">
        <f t="shared" ca="1" si="178"/>
        <v>3.5446308445978421</v>
      </c>
      <c r="Y410" s="314" t="str">
        <f t="shared" ca="1" si="196"/>
        <v/>
      </c>
      <c r="Z410" s="315" t="str">
        <f t="shared" ca="1" si="197"/>
        <v/>
      </c>
      <c r="AA410" s="316" t="str">
        <f t="shared" ca="1" si="198"/>
        <v/>
      </c>
      <c r="AC410" s="310" t="e">
        <f t="shared" ca="1" si="199"/>
        <v>#N/A</v>
      </c>
      <c r="AD410" s="323" t="e">
        <f t="shared" ca="1" si="200"/>
        <v>#N/A</v>
      </c>
      <c r="AE410" s="324" t="e">
        <f t="shared" ca="1" si="179"/>
        <v>#N/A</v>
      </c>
      <c r="AG410" s="306">
        <f t="shared" ca="1" si="201"/>
        <v>1.4835448046466979</v>
      </c>
      <c r="AH410" s="304">
        <f t="shared" ca="1" si="202"/>
        <v>-8.3011917655746501</v>
      </c>
    </row>
    <row r="411" spans="1:34" x14ac:dyDescent="0.3">
      <c r="A411" s="347">
        <f t="shared" ca="1" si="180"/>
        <v>1E-4</v>
      </c>
      <c r="B411" s="304">
        <f t="shared" ca="1" si="181"/>
        <v>16.106599999999947</v>
      </c>
      <c r="D411" s="306">
        <f t="shared" ca="1" si="182"/>
        <v>-0.59536304438001475</v>
      </c>
      <c r="E411" s="307">
        <f t="shared" ca="1" si="183"/>
        <v>-1.5301339720462988</v>
      </c>
      <c r="F411" s="304">
        <f t="shared" ca="1" si="184"/>
        <v>1.641879145072384</v>
      </c>
      <c r="G411" s="306">
        <f t="shared" ca="1" si="185"/>
        <v>3.750426173842123</v>
      </c>
      <c r="H411" s="307">
        <f t="shared" ca="1" si="186"/>
        <v>-52.159116376845709</v>
      </c>
      <c r="I411" s="304">
        <f t="shared" ca="1" si="187"/>
        <v>52.293777045636837</v>
      </c>
      <c r="J411" s="306">
        <f t="shared" ca="1" si="188"/>
        <v>150.09587023194715</v>
      </c>
      <c r="K411" s="307">
        <f t="shared" ca="1" si="189"/>
        <v>-3.1683731299340767</v>
      </c>
      <c r="L411" s="304">
        <f t="shared" ca="1" si="174"/>
        <v>150.12930709550352</v>
      </c>
      <c r="M411" s="306">
        <f t="shared" ca="1" si="190"/>
        <v>-1.4990163001549979</v>
      </c>
      <c r="N411" s="304">
        <f t="shared" ca="1" si="191"/>
        <v>-85.887307420197189</v>
      </c>
      <c r="P411" s="310">
        <f t="shared" ca="1" si="192"/>
        <v>23</v>
      </c>
      <c r="Q411" s="304">
        <f t="shared" ca="1" si="193"/>
        <v>0</v>
      </c>
      <c r="R411" s="306">
        <f t="shared" ca="1" si="194"/>
        <v>0</v>
      </c>
      <c r="S411" s="307">
        <f t="shared" ca="1" si="195"/>
        <v>0.4270000000000001</v>
      </c>
      <c r="T411" s="304">
        <f t="shared" ca="1" si="175"/>
        <v>4.1888700000000014</v>
      </c>
      <c r="U411" s="311">
        <f t="shared" ca="1" si="176"/>
        <v>0</v>
      </c>
      <c r="V411" s="306">
        <f t="shared" ca="1" si="177"/>
        <v>1.2253881872045125</v>
      </c>
      <c r="W411" s="304">
        <f t="shared" ca="1" si="178"/>
        <v>3.5446528046953412</v>
      </c>
      <c r="Y411" s="314" t="str">
        <f t="shared" ca="1" si="196"/>
        <v/>
      </c>
      <c r="Z411" s="315" t="str">
        <f t="shared" ca="1" si="197"/>
        <v/>
      </c>
      <c r="AA411" s="316" t="str">
        <f t="shared" ca="1" si="198"/>
        <v/>
      </c>
      <c r="AC411" s="310" t="e">
        <f t="shared" ca="1" si="199"/>
        <v>#N/A</v>
      </c>
      <c r="AD411" s="323" t="e">
        <f t="shared" ca="1" si="200"/>
        <v>#N/A</v>
      </c>
      <c r="AE411" s="324" t="e">
        <f t="shared" ca="1" si="179"/>
        <v>#N/A</v>
      </c>
      <c r="AG411" s="306">
        <f t="shared" ca="1" si="201"/>
        <v>1.4834943210688838</v>
      </c>
      <c r="AH411" s="304">
        <f t="shared" ca="1" si="202"/>
        <v>-8.3012431957794881</v>
      </c>
    </row>
    <row r="412" spans="1:34" x14ac:dyDescent="0.3">
      <c r="A412" s="347">
        <f t="shared" ca="1" si="180"/>
        <v>1E-4</v>
      </c>
      <c r="B412" s="304">
        <f t="shared" ca="1" si="181"/>
        <v>16.106699999999947</v>
      </c>
      <c r="D412" s="306">
        <f t="shared" ca="1" si="182"/>
        <v>-0.5953555928772718</v>
      </c>
      <c r="E412" s="307">
        <f t="shared" ca="1" si="183"/>
        <v>-1.5300818746742362</v>
      </c>
      <c r="F412" s="304">
        <f t="shared" ca="1" si="184"/>
        <v>1.6418278914602689</v>
      </c>
      <c r="G412" s="306">
        <f t="shared" ca="1" si="185"/>
        <v>3.7503666382828351</v>
      </c>
      <c r="H412" s="307">
        <f t="shared" ca="1" si="186"/>
        <v>-52.159269385033177</v>
      </c>
      <c r="I412" s="304">
        <f t="shared" ca="1" si="187"/>
        <v>52.293925390068054</v>
      </c>
      <c r="J412" s="306">
        <f t="shared" ca="1" si="188"/>
        <v>150.09587023194715</v>
      </c>
      <c r="K412" s="307">
        <f t="shared" ca="1" si="189"/>
        <v>-3.1735890492221706</v>
      </c>
      <c r="L412" s="304">
        <f t="shared" ca="1" si="174"/>
        <v>150.12941726436847</v>
      </c>
      <c r="M412" s="306">
        <f t="shared" ca="1" si="190"/>
        <v>-1.4990176455455528</v>
      </c>
      <c r="N412" s="304">
        <f t="shared" ca="1" si="191"/>
        <v>-85.88738450539779</v>
      </c>
      <c r="P412" s="310">
        <f t="shared" ca="1" si="192"/>
        <v>23</v>
      </c>
      <c r="Q412" s="304">
        <f t="shared" ca="1" si="193"/>
        <v>0</v>
      </c>
      <c r="R412" s="306">
        <f t="shared" ca="1" si="194"/>
        <v>0</v>
      </c>
      <c r="S412" s="307">
        <f t="shared" ca="1" si="195"/>
        <v>0.4270000000000001</v>
      </c>
      <c r="T412" s="304">
        <f t="shared" ca="1" si="175"/>
        <v>4.1888700000000014</v>
      </c>
      <c r="U412" s="311">
        <f t="shared" ca="1" si="176"/>
        <v>0</v>
      </c>
      <c r="V412" s="306">
        <f t="shared" ca="1" si="177"/>
        <v>1.2253888263572834</v>
      </c>
      <c r="W412" s="304">
        <f t="shared" ca="1" si="178"/>
        <v>3.5446747641928882</v>
      </c>
      <c r="Y412" s="314" t="str">
        <f t="shared" ca="1" si="196"/>
        <v/>
      </c>
      <c r="Z412" s="315" t="str">
        <f t="shared" ca="1" si="197"/>
        <v/>
      </c>
      <c r="AA412" s="316" t="str">
        <f t="shared" ca="1" si="198"/>
        <v/>
      </c>
      <c r="AC412" s="310" t="e">
        <f t="shared" ca="1" si="199"/>
        <v>#N/A</v>
      </c>
      <c r="AD412" s="323" t="e">
        <f t="shared" ca="1" si="200"/>
        <v>#N/A</v>
      </c>
      <c r="AE412" s="324" t="e">
        <f t="shared" ca="1" si="179"/>
        <v>#N/A</v>
      </c>
      <c r="AG412" s="306">
        <f t="shared" ca="1" si="201"/>
        <v>1.4834438388580313</v>
      </c>
      <c r="AH412" s="304">
        <f t="shared" ca="1" si="202"/>
        <v>-8.3012946245792509</v>
      </c>
    </row>
    <row r="413" spans="1:34" x14ac:dyDescent="0.3">
      <c r="A413" s="347">
        <f t="shared" ca="1" si="180"/>
        <v>1E-4</v>
      </c>
      <c r="B413" s="304">
        <f t="shared" ca="1" si="181"/>
        <v>16.106799999999946</v>
      </c>
      <c r="D413" s="306">
        <f t="shared" ca="1" si="182"/>
        <v>-0.59534814137469705</v>
      </c>
      <c r="E413" s="307">
        <f t="shared" ca="1" si="183"/>
        <v>-1.5300297787259165</v>
      </c>
      <c r="F413" s="304">
        <f t="shared" ca="1" si="184"/>
        <v>1.6417766392619866</v>
      </c>
      <c r="G413" s="306">
        <f t="shared" ca="1" si="185"/>
        <v>3.7503071034686974</v>
      </c>
      <c r="H413" s="307">
        <f t="shared" ca="1" si="186"/>
        <v>-52.159422388011052</v>
      </c>
      <c r="I413" s="304">
        <f t="shared" ca="1" si="187"/>
        <v>52.294073729451185</v>
      </c>
      <c r="J413" s="306">
        <f t="shared" ca="1" si="188"/>
        <v>150.09587023194715</v>
      </c>
      <c r="K413" s="307">
        <f t="shared" ca="1" si="189"/>
        <v>-3.1788049838108225</v>
      </c>
      <c r="L413" s="304">
        <f t="shared" ca="1" si="174"/>
        <v>150.12952761469217</v>
      </c>
      <c r="M413" s="306">
        <f t="shared" ca="1" si="190"/>
        <v>-1.4990189909071177</v>
      </c>
      <c r="N413" s="304">
        <f t="shared" ca="1" si="191"/>
        <v>-85.88746158893737</v>
      </c>
      <c r="P413" s="310">
        <f t="shared" ca="1" si="192"/>
        <v>23</v>
      </c>
      <c r="Q413" s="304">
        <f t="shared" ca="1" si="193"/>
        <v>0</v>
      </c>
      <c r="R413" s="306">
        <f t="shared" ca="1" si="194"/>
        <v>0</v>
      </c>
      <c r="S413" s="307">
        <f t="shared" ca="1" si="195"/>
        <v>0.4270000000000001</v>
      </c>
      <c r="T413" s="304">
        <f t="shared" ca="1" si="175"/>
        <v>4.1888700000000014</v>
      </c>
      <c r="U413" s="311">
        <f t="shared" ca="1" si="176"/>
        <v>0</v>
      </c>
      <c r="V413" s="306">
        <f t="shared" ca="1" si="177"/>
        <v>1.2253894655122624</v>
      </c>
      <c r="W413" s="304">
        <f t="shared" ca="1" si="178"/>
        <v>3.5446967230904924</v>
      </c>
      <c r="Y413" s="314" t="str">
        <f t="shared" ca="1" si="196"/>
        <v/>
      </c>
      <c r="Z413" s="315" t="str">
        <f t="shared" ca="1" si="197"/>
        <v/>
      </c>
      <c r="AA413" s="316" t="str">
        <f t="shared" ca="1" si="198"/>
        <v/>
      </c>
      <c r="AC413" s="310" t="e">
        <f t="shared" ca="1" si="199"/>
        <v>#N/A</v>
      </c>
      <c r="AD413" s="323" t="e">
        <f t="shared" ca="1" si="200"/>
        <v>#N/A</v>
      </c>
      <c r="AE413" s="324" t="e">
        <f t="shared" ca="1" si="179"/>
        <v>#N/A</v>
      </c>
      <c r="AG413" s="306">
        <f t="shared" ca="1" si="201"/>
        <v>1.4833933580141103</v>
      </c>
      <c r="AH413" s="304">
        <f t="shared" ca="1" si="202"/>
        <v>-8.3013460519739759</v>
      </c>
    </row>
    <row r="414" spans="1:34" x14ac:dyDescent="0.3">
      <c r="A414" s="347">
        <f t="shared" ca="1" si="180"/>
        <v>1E-4</v>
      </c>
      <c r="B414" s="304">
        <f t="shared" ca="1" si="181"/>
        <v>16.106899999999946</v>
      </c>
      <c r="D414" s="306">
        <f t="shared" ca="1" si="182"/>
        <v>-0.59534068987229816</v>
      </c>
      <c r="E414" s="307">
        <f t="shared" ca="1" si="183"/>
        <v>-1.5299776842013202</v>
      </c>
      <c r="F414" s="304">
        <f t="shared" ca="1" si="184"/>
        <v>1.6417253884775185</v>
      </c>
      <c r="G414" s="306">
        <f t="shared" ca="1" si="185"/>
        <v>3.7502475693997104</v>
      </c>
      <c r="H414" s="307">
        <f t="shared" ca="1" si="186"/>
        <v>-52.159575385779469</v>
      </c>
      <c r="I414" s="304">
        <f t="shared" ca="1" si="187"/>
        <v>52.294222063786357</v>
      </c>
      <c r="J414" s="306">
        <f t="shared" ca="1" si="188"/>
        <v>150.09587023194715</v>
      </c>
      <c r="K414" s="307">
        <f t="shared" ca="1" si="189"/>
        <v>-3.1840209336995122</v>
      </c>
      <c r="L414" s="304">
        <f t="shared" ca="1" si="174"/>
        <v>150.12963814647577</v>
      </c>
      <c r="M414" s="306">
        <f t="shared" ca="1" si="190"/>
        <v>-1.4990203362396932</v>
      </c>
      <c r="N414" s="304">
        <f t="shared" ca="1" si="191"/>
        <v>-85.887538670815985</v>
      </c>
      <c r="P414" s="310">
        <f t="shared" ca="1" si="192"/>
        <v>23</v>
      </c>
      <c r="Q414" s="304">
        <f t="shared" ca="1" si="193"/>
        <v>0</v>
      </c>
      <c r="R414" s="306">
        <f t="shared" ca="1" si="194"/>
        <v>0</v>
      </c>
      <c r="S414" s="307">
        <f t="shared" ca="1" si="195"/>
        <v>0.4270000000000001</v>
      </c>
      <c r="T414" s="304">
        <f t="shared" ca="1" si="175"/>
        <v>4.1888700000000014</v>
      </c>
      <c r="U414" s="311">
        <f t="shared" ca="1" si="176"/>
        <v>0</v>
      </c>
      <c r="V414" s="306">
        <f t="shared" ca="1" si="177"/>
        <v>1.22539010466945</v>
      </c>
      <c r="W414" s="304">
        <f t="shared" ca="1" si="178"/>
        <v>3.5447186813881659</v>
      </c>
      <c r="Y414" s="314" t="str">
        <f t="shared" ca="1" si="196"/>
        <v/>
      </c>
      <c r="Z414" s="315" t="str">
        <f t="shared" ca="1" si="197"/>
        <v/>
      </c>
      <c r="AA414" s="316" t="str">
        <f t="shared" ca="1" si="198"/>
        <v/>
      </c>
      <c r="AC414" s="310" t="e">
        <f t="shared" ca="1" si="199"/>
        <v>#N/A</v>
      </c>
      <c r="AD414" s="323" t="e">
        <f t="shared" ca="1" si="200"/>
        <v>#N/A</v>
      </c>
      <c r="AE414" s="324" t="e">
        <f t="shared" ca="1" si="179"/>
        <v>#N/A</v>
      </c>
      <c r="AG414" s="306">
        <f t="shared" ca="1" si="201"/>
        <v>1.483342878537103</v>
      </c>
      <c r="AH414" s="304">
        <f t="shared" ca="1" si="202"/>
        <v>-8.3013974779636808</v>
      </c>
    </row>
    <row r="415" spans="1:34" x14ac:dyDescent="0.3">
      <c r="A415" s="347">
        <f t="shared" ca="1" si="180"/>
        <v>1E-4</v>
      </c>
      <c r="B415" s="304">
        <f t="shared" ca="1" si="181"/>
        <v>16.106999999999946</v>
      </c>
      <c r="D415" s="306">
        <f t="shared" ca="1" si="182"/>
        <v>-0.5953332383700799</v>
      </c>
      <c r="E415" s="307">
        <f t="shared" ca="1" si="183"/>
        <v>-1.5299255911004188</v>
      </c>
      <c r="F415" s="304">
        <f t="shared" ca="1" si="184"/>
        <v>1.6416741391068363</v>
      </c>
      <c r="G415" s="306">
        <f t="shared" ca="1" si="185"/>
        <v>3.7501880360758735</v>
      </c>
      <c r="H415" s="307">
        <f t="shared" ca="1" si="186"/>
        <v>-52.159728378338578</v>
      </c>
      <c r="I415" s="304">
        <f t="shared" ca="1" si="187"/>
        <v>52.29437039307372</v>
      </c>
      <c r="J415" s="306">
        <f t="shared" ca="1" si="188"/>
        <v>150.09587023194715</v>
      </c>
      <c r="K415" s="307">
        <f t="shared" ca="1" si="189"/>
        <v>-3.1892368988877182</v>
      </c>
      <c r="L415" s="304">
        <f t="shared" ca="1" si="174"/>
        <v>150.12974885972048</v>
      </c>
      <c r="M415" s="306">
        <f t="shared" ca="1" si="190"/>
        <v>-1.4990216815432806</v>
      </c>
      <c r="N415" s="304">
        <f t="shared" ca="1" si="191"/>
        <v>-85.887615751033707</v>
      </c>
      <c r="P415" s="310">
        <f t="shared" ca="1" si="192"/>
        <v>23</v>
      </c>
      <c r="Q415" s="304">
        <f t="shared" ca="1" si="193"/>
        <v>0</v>
      </c>
      <c r="R415" s="306">
        <f t="shared" ca="1" si="194"/>
        <v>0</v>
      </c>
      <c r="S415" s="307">
        <f t="shared" ca="1" si="195"/>
        <v>0.4270000000000001</v>
      </c>
      <c r="T415" s="304">
        <f t="shared" ca="1" si="175"/>
        <v>4.1888700000000014</v>
      </c>
      <c r="U415" s="311">
        <f t="shared" ca="1" si="176"/>
        <v>0</v>
      </c>
      <c r="V415" s="306">
        <f t="shared" ca="1" si="177"/>
        <v>1.2253907438288456</v>
      </c>
      <c r="W415" s="304">
        <f t="shared" ca="1" si="178"/>
        <v>3.5447406390859197</v>
      </c>
      <c r="Y415" s="314" t="str">
        <f t="shared" ca="1" si="196"/>
        <v/>
      </c>
      <c r="Z415" s="315" t="str">
        <f t="shared" ca="1" si="197"/>
        <v/>
      </c>
      <c r="AA415" s="316" t="str">
        <f t="shared" ca="1" si="198"/>
        <v/>
      </c>
      <c r="AC415" s="310" t="e">
        <f t="shared" ca="1" si="199"/>
        <v>#N/A</v>
      </c>
      <c r="AD415" s="323" t="e">
        <f t="shared" ca="1" si="200"/>
        <v>#N/A</v>
      </c>
      <c r="AE415" s="324" t="e">
        <f t="shared" ca="1" si="179"/>
        <v>#N/A</v>
      </c>
      <c r="AG415" s="306">
        <f t="shared" ca="1" si="201"/>
        <v>1.483292400426981</v>
      </c>
      <c r="AH415" s="304">
        <f t="shared" ca="1" si="202"/>
        <v>-8.3014489025483957</v>
      </c>
    </row>
    <row r="416" spans="1:34" x14ac:dyDescent="0.3">
      <c r="A416" s="347">
        <f t="shared" ca="1" si="180"/>
        <v>1E-4</v>
      </c>
      <c r="B416" s="304">
        <f t="shared" ca="1" si="181"/>
        <v>16.107099999999946</v>
      </c>
      <c r="D416" s="306">
        <f t="shared" ca="1" si="182"/>
        <v>-0.5953257868680456</v>
      </c>
      <c r="E416" s="307">
        <f t="shared" ca="1" si="183"/>
        <v>-1.529873499423184</v>
      </c>
      <c r="F416" s="304">
        <f t="shared" ca="1" si="184"/>
        <v>1.6416228911499122</v>
      </c>
      <c r="G416" s="306">
        <f t="shared" ca="1" si="185"/>
        <v>3.7501285034971867</v>
      </c>
      <c r="H416" s="307">
        <f t="shared" ca="1" si="186"/>
        <v>-52.15988136568852</v>
      </c>
      <c r="I416" s="304">
        <f t="shared" ca="1" si="187"/>
        <v>52.294518717313409</v>
      </c>
      <c r="J416" s="306">
        <f t="shared" ca="1" si="188"/>
        <v>150.09587023194715</v>
      </c>
      <c r="K416" s="307">
        <f t="shared" ca="1" si="189"/>
        <v>-3.1944528793749196</v>
      </c>
      <c r="L416" s="304">
        <f t="shared" ca="1" si="174"/>
        <v>150.12985975442749</v>
      </c>
      <c r="M416" s="306">
        <f t="shared" ca="1" si="190"/>
        <v>-1.4990230268178804</v>
      </c>
      <c r="N416" s="304">
        <f t="shared" ca="1" si="191"/>
        <v>-85.887692829590563</v>
      </c>
      <c r="P416" s="310">
        <f t="shared" ca="1" si="192"/>
        <v>23</v>
      </c>
      <c r="Q416" s="304">
        <f t="shared" ca="1" si="193"/>
        <v>0</v>
      </c>
      <c r="R416" s="306">
        <f t="shared" ca="1" si="194"/>
        <v>0</v>
      </c>
      <c r="S416" s="307">
        <f t="shared" ca="1" si="195"/>
        <v>0.4270000000000001</v>
      </c>
      <c r="T416" s="304">
        <f t="shared" ca="1" si="175"/>
        <v>4.1888700000000014</v>
      </c>
      <c r="U416" s="311">
        <f t="shared" ca="1" si="176"/>
        <v>0</v>
      </c>
      <c r="V416" s="306">
        <f t="shared" ca="1" si="177"/>
        <v>1.2253913829904497</v>
      </c>
      <c r="W416" s="304">
        <f t="shared" ca="1" si="178"/>
        <v>3.544762596183769</v>
      </c>
      <c r="Y416" s="314" t="str">
        <f t="shared" ca="1" si="196"/>
        <v/>
      </c>
      <c r="Z416" s="315" t="str">
        <f t="shared" ca="1" si="197"/>
        <v/>
      </c>
      <c r="AA416" s="316" t="str">
        <f t="shared" ca="1" si="198"/>
        <v/>
      </c>
      <c r="AC416" s="310" t="e">
        <f t="shared" ca="1" si="199"/>
        <v>#N/A</v>
      </c>
      <c r="AD416" s="323" t="e">
        <f t="shared" ca="1" si="200"/>
        <v>#N/A</v>
      </c>
      <c r="AE416" s="324" t="e">
        <f t="shared" ca="1" si="179"/>
        <v>#N/A</v>
      </c>
      <c r="AG416" s="306">
        <f t="shared" ca="1" si="201"/>
        <v>1.4832419236837193</v>
      </c>
      <c r="AH416" s="304">
        <f t="shared" ca="1" si="202"/>
        <v>-8.3015003257281474</v>
      </c>
    </row>
    <row r="417" spans="1:34" x14ac:dyDescent="0.3">
      <c r="A417" s="347">
        <f t="shared" ca="1" si="180"/>
        <v>1E-4</v>
      </c>
      <c r="B417" s="304">
        <f t="shared" ca="1" si="181"/>
        <v>16.107199999999946</v>
      </c>
      <c r="D417" s="306">
        <f t="shared" ca="1" si="182"/>
        <v>-0.59531833536620393</v>
      </c>
      <c r="E417" s="307">
        <f t="shared" ca="1" si="183"/>
        <v>-1.5298214091695819</v>
      </c>
      <c r="F417" s="304">
        <f t="shared" ca="1" si="184"/>
        <v>1.6415716446067143</v>
      </c>
      <c r="G417" s="306">
        <f t="shared" ca="1" si="185"/>
        <v>3.7500689716636502</v>
      </c>
      <c r="H417" s="307">
        <f t="shared" ca="1" si="186"/>
        <v>-52.160034347829438</v>
      </c>
      <c r="I417" s="304">
        <f t="shared" ca="1" si="187"/>
        <v>52.294667036505565</v>
      </c>
      <c r="J417" s="306">
        <f t="shared" ca="1" si="188"/>
        <v>150.09587023194715</v>
      </c>
      <c r="K417" s="307">
        <f t="shared" ca="1" si="189"/>
        <v>-3.1996688751605955</v>
      </c>
      <c r="L417" s="304">
        <f t="shared" ca="1" si="174"/>
        <v>150.12997083059793</v>
      </c>
      <c r="M417" s="306">
        <f t="shared" ca="1" si="190"/>
        <v>-1.4990243720634937</v>
      </c>
      <c r="N417" s="304">
        <f t="shared" ca="1" si="191"/>
        <v>-85.887769906486611</v>
      </c>
      <c r="P417" s="310">
        <f t="shared" ca="1" si="192"/>
        <v>23</v>
      </c>
      <c r="Q417" s="304">
        <f t="shared" ca="1" si="193"/>
        <v>0</v>
      </c>
      <c r="R417" s="306">
        <f t="shared" ca="1" si="194"/>
        <v>0</v>
      </c>
      <c r="S417" s="307">
        <f t="shared" ca="1" si="195"/>
        <v>0.4270000000000001</v>
      </c>
      <c r="T417" s="304">
        <f t="shared" ca="1" si="175"/>
        <v>4.1888700000000014</v>
      </c>
      <c r="U417" s="311">
        <f t="shared" ca="1" si="176"/>
        <v>0</v>
      </c>
      <c r="V417" s="306">
        <f t="shared" ca="1" si="177"/>
        <v>1.2253920221542616</v>
      </c>
      <c r="W417" s="304">
        <f t="shared" ca="1" si="178"/>
        <v>3.5447845526817221</v>
      </c>
      <c r="Y417" s="314" t="str">
        <f t="shared" ca="1" si="196"/>
        <v/>
      </c>
      <c r="Z417" s="315" t="str">
        <f t="shared" ca="1" si="197"/>
        <v/>
      </c>
      <c r="AA417" s="316" t="str">
        <f t="shared" ca="1" si="198"/>
        <v/>
      </c>
      <c r="AC417" s="310" t="e">
        <f t="shared" ca="1" si="199"/>
        <v>#N/A</v>
      </c>
      <c r="AD417" s="323" t="e">
        <f t="shared" ca="1" si="200"/>
        <v>#N/A</v>
      </c>
      <c r="AE417" s="324" t="e">
        <f t="shared" ca="1" si="179"/>
        <v>#N/A</v>
      </c>
      <c r="AG417" s="306">
        <f t="shared" ca="1" si="201"/>
        <v>1.4831914483072861</v>
      </c>
      <c r="AH417" s="304">
        <f t="shared" ca="1" si="202"/>
        <v>-8.3015517475029696</v>
      </c>
    </row>
    <row r="418" spans="1:34" x14ac:dyDescent="0.3">
      <c r="A418" s="347">
        <f t="shared" ca="1" si="180"/>
        <v>1E-4</v>
      </c>
      <c r="B418" s="304">
        <f t="shared" ca="1" si="181"/>
        <v>16.107299999999945</v>
      </c>
      <c r="D418" s="306">
        <f t="shared" ca="1" si="182"/>
        <v>-0.59531088386455566</v>
      </c>
      <c r="E418" s="307">
        <f t="shared" ca="1" si="183"/>
        <v>-1.5297693203395912</v>
      </c>
      <c r="F418" s="304">
        <f t="shared" ca="1" si="184"/>
        <v>1.6415203994772205</v>
      </c>
      <c r="G418" s="306">
        <f t="shared" ca="1" si="185"/>
        <v>3.7500094405752638</v>
      </c>
      <c r="H418" s="307">
        <f t="shared" ca="1" si="186"/>
        <v>-52.160187324761473</v>
      </c>
      <c r="I418" s="304">
        <f t="shared" ca="1" si="187"/>
        <v>52.29481535065031</v>
      </c>
      <c r="J418" s="306">
        <f t="shared" ca="1" si="188"/>
        <v>150.09587023194715</v>
      </c>
      <c r="K418" s="307">
        <f t="shared" ca="1" si="189"/>
        <v>-3.204884886244225</v>
      </c>
      <c r="L418" s="304">
        <f t="shared" ca="1" si="174"/>
        <v>150.13008208823305</v>
      </c>
      <c r="M418" s="306">
        <f t="shared" ca="1" si="190"/>
        <v>-1.4990257172801211</v>
      </c>
      <c r="N418" s="304">
        <f t="shared" ca="1" si="191"/>
        <v>-85.887846981721893</v>
      </c>
      <c r="P418" s="310">
        <f t="shared" ca="1" si="192"/>
        <v>23</v>
      </c>
      <c r="Q418" s="304">
        <f t="shared" ca="1" si="193"/>
        <v>0</v>
      </c>
      <c r="R418" s="306">
        <f t="shared" ca="1" si="194"/>
        <v>0</v>
      </c>
      <c r="S418" s="307">
        <f t="shared" ca="1" si="195"/>
        <v>0.4270000000000001</v>
      </c>
      <c r="T418" s="304">
        <f t="shared" ca="1" si="175"/>
        <v>4.1888700000000014</v>
      </c>
      <c r="U418" s="311">
        <f t="shared" ca="1" si="176"/>
        <v>0</v>
      </c>
      <c r="V418" s="306">
        <f t="shared" ca="1" si="177"/>
        <v>1.2253926613202815</v>
      </c>
      <c r="W418" s="304">
        <f t="shared" ca="1" si="178"/>
        <v>3.5448065085797906</v>
      </c>
      <c r="Y418" s="314" t="str">
        <f t="shared" ca="1" si="196"/>
        <v/>
      </c>
      <c r="Z418" s="315" t="str">
        <f t="shared" ca="1" si="197"/>
        <v/>
      </c>
      <c r="AA418" s="316" t="str">
        <f t="shared" ca="1" si="198"/>
        <v/>
      </c>
      <c r="AC418" s="310" t="e">
        <f t="shared" ca="1" si="199"/>
        <v>#N/A</v>
      </c>
      <c r="AD418" s="323" t="e">
        <f t="shared" ca="1" si="200"/>
        <v>#N/A</v>
      </c>
      <c r="AE418" s="324" t="e">
        <f t="shared" ca="1" si="179"/>
        <v>#N/A</v>
      </c>
      <c r="AG418" s="306">
        <f t="shared" ca="1" si="201"/>
        <v>1.48314097429766</v>
      </c>
      <c r="AH418" s="304">
        <f t="shared" ca="1" si="202"/>
        <v>-8.3016031678728837</v>
      </c>
    </row>
    <row r="419" spans="1:34" x14ac:dyDescent="0.3">
      <c r="A419" s="347">
        <f t="shared" ca="1" si="180"/>
        <v>1E-4</v>
      </c>
      <c r="B419" s="304">
        <f t="shared" ca="1" si="181"/>
        <v>16.107399999999945</v>
      </c>
      <c r="D419" s="306">
        <f t="shared" ca="1" si="182"/>
        <v>-0.59530343236310901</v>
      </c>
      <c r="E419" s="307">
        <f t="shared" ca="1" si="183"/>
        <v>-1.5297172329331854</v>
      </c>
      <c r="F419" s="304">
        <f t="shared" ca="1" si="184"/>
        <v>1.641469155761405</v>
      </c>
      <c r="G419" s="306">
        <f t="shared" ca="1" si="185"/>
        <v>3.7499499102320275</v>
      </c>
      <c r="H419" s="307">
        <f t="shared" ca="1" si="186"/>
        <v>-52.160340296484769</v>
      </c>
      <c r="I419" s="304">
        <f t="shared" ca="1" si="187"/>
        <v>52.294963659747793</v>
      </c>
      <c r="J419" s="306">
        <f t="shared" ca="1" si="188"/>
        <v>150.09587023194715</v>
      </c>
      <c r="K419" s="307">
        <f t="shared" ca="1" si="189"/>
        <v>-3.2101009126252871</v>
      </c>
      <c r="L419" s="304">
        <f t="shared" ca="1" si="174"/>
        <v>150.13019352733397</v>
      </c>
      <c r="M419" s="306">
        <f t="shared" ca="1" si="190"/>
        <v>-1.4990270624677635</v>
      </c>
      <c r="N419" s="304">
        <f t="shared" ca="1" si="191"/>
        <v>-85.887924055296466</v>
      </c>
      <c r="P419" s="310">
        <f t="shared" ca="1" si="192"/>
        <v>23</v>
      </c>
      <c r="Q419" s="304">
        <f t="shared" ca="1" si="193"/>
        <v>0</v>
      </c>
      <c r="R419" s="306">
        <f t="shared" ca="1" si="194"/>
        <v>0</v>
      </c>
      <c r="S419" s="307">
        <f t="shared" ca="1" si="195"/>
        <v>0.4270000000000001</v>
      </c>
      <c r="T419" s="304">
        <f t="shared" ca="1" si="175"/>
        <v>4.1888700000000014</v>
      </c>
      <c r="U419" s="311">
        <f t="shared" ca="1" si="176"/>
        <v>0</v>
      </c>
      <c r="V419" s="306">
        <f t="shared" ca="1" si="177"/>
        <v>1.2253933004885094</v>
      </c>
      <c r="W419" s="304">
        <f t="shared" ca="1" si="178"/>
        <v>3.5448284638779866</v>
      </c>
      <c r="Y419" s="314" t="str">
        <f t="shared" ca="1" si="196"/>
        <v/>
      </c>
      <c r="Z419" s="315" t="str">
        <f t="shared" ca="1" si="197"/>
        <v/>
      </c>
      <c r="AA419" s="316" t="str">
        <f t="shared" ca="1" si="198"/>
        <v/>
      </c>
      <c r="AC419" s="310" t="e">
        <f t="shared" ca="1" si="199"/>
        <v>#N/A</v>
      </c>
      <c r="AD419" s="323" t="e">
        <f t="shared" ca="1" si="200"/>
        <v>#N/A</v>
      </c>
      <c r="AE419" s="324" t="e">
        <f t="shared" ca="1" si="179"/>
        <v>#N/A</v>
      </c>
      <c r="AG419" s="306">
        <f t="shared" ca="1" si="201"/>
        <v>1.4830905016548215</v>
      </c>
      <c r="AH419" s="304">
        <f t="shared" ca="1" si="202"/>
        <v>-8.3016545868379144</v>
      </c>
    </row>
    <row r="420" spans="1:34" x14ac:dyDescent="0.3">
      <c r="A420" s="347">
        <f t="shared" ca="1" si="180"/>
        <v>1E-4</v>
      </c>
      <c r="B420" s="304">
        <f t="shared" ca="1" si="181"/>
        <v>16.107499999999945</v>
      </c>
      <c r="D420" s="306">
        <f t="shared" ca="1" si="182"/>
        <v>-0.59529598086186908</v>
      </c>
      <c r="E420" s="307">
        <f t="shared" ca="1" si="183"/>
        <v>-1.5296651469503324</v>
      </c>
      <c r="F420" s="304">
        <f t="shared" ca="1" si="184"/>
        <v>1.6414179134592375</v>
      </c>
      <c r="G420" s="306">
        <f t="shared" ca="1" si="185"/>
        <v>3.7498903806339414</v>
      </c>
      <c r="H420" s="307">
        <f t="shared" ca="1" si="186"/>
        <v>-52.160493262999466</v>
      </c>
      <c r="I420" s="304">
        <f t="shared" ca="1" si="187"/>
        <v>52.295111963798142</v>
      </c>
      <c r="J420" s="306">
        <f t="shared" ca="1" si="188"/>
        <v>150.09587023194715</v>
      </c>
      <c r="K420" s="307">
        <f t="shared" ca="1" si="189"/>
        <v>-3.2153169543032614</v>
      </c>
      <c r="L420" s="304">
        <f t="shared" ca="1" si="174"/>
        <v>150.13030514790194</v>
      </c>
      <c r="M420" s="306">
        <f t="shared" ca="1" si="190"/>
        <v>-1.499028407626422</v>
      </c>
      <c r="N420" s="304">
        <f t="shared" ca="1" si="191"/>
        <v>-85.888001127210359</v>
      </c>
      <c r="P420" s="310">
        <f t="shared" ca="1" si="192"/>
        <v>23</v>
      </c>
      <c r="Q420" s="304">
        <f t="shared" ca="1" si="193"/>
        <v>0</v>
      </c>
      <c r="R420" s="306">
        <f t="shared" ca="1" si="194"/>
        <v>0</v>
      </c>
      <c r="S420" s="307">
        <f t="shared" ca="1" si="195"/>
        <v>0.4270000000000001</v>
      </c>
      <c r="T420" s="304">
        <f t="shared" ca="1" si="175"/>
        <v>4.1888700000000014</v>
      </c>
      <c r="U420" s="311">
        <f t="shared" ca="1" si="176"/>
        <v>0</v>
      </c>
      <c r="V420" s="306">
        <f t="shared" ca="1" si="177"/>
        <v>1.2253939396589453</v>
      </c>
      <c r="W420" s="304">
        <f t="shared" ca="1" si="178"/>
        <v>3.5448504185763228</v>
      </c>
      <c r="Y420" s="314" t="str">
        <f t="shared" ca="1" si="196"/>
        <v/>
      </c>
      <c r="Z420" s="315" t="str">
        <f t="shared" ca="1" si="197"/>
        <v/>
      </c>
      <c r="AA420" s="316" t="str">
        <f t="shared" ca="1" si="198"/>
        <v/>
      </c>
      <c r="AC420" s="310" t="e">
        <f t="shared" ca="1" si="199"/>
        <v>#N/A</v>
      </c>
      <c r="AD420" s="323" t="e">
        <f t="shared" ca="1" si="200"/>
        <v>#N/A</v>
      </c>
      <c r="AE420" s="324" t="e">
        <f t="shared" ca="1" si="179"/>
        <v>#N/A</v>
      </c>
      <c r="AG420" s="306">
        <f t="shared" ca="1" si="201"/>
        <v>1.4830400303787385</v>
      </c>
      <c r="AH420" s="304">
        <f t="shared" ca="1" si="202"/>
        <v>-8.3017060043980937</v>
      </c>
    </row>
    <row r="421" spans="1:34" x14ac:dyDescent="0.3">
      <c r="A421" s="347">
        <f t="shared" ca="1" si="180"/>
        <v>1E-4</v>
      </c>
      <c r="B421" s="304">
        <f t="shared" ca="1" si="181"/>
        <v>16.107599999999945</v>
      </c>
      <c r="D421" s="306">
        <f t="shared" ca="1" si="182"/>
        <v>-0.59528852936083876</v>
      </c>
      <c r="E421" s="307">
        <f t="shared" ca="1" si="183"/>
        <v>-1.5296130623910091</v>
      </c>
      <c r="F421" s="304">
        <f t="shared" ca="1" si="184"/>
        <v>1.6413666725706939</v>
      </c>
      <c r="G421" s="306">
        <f t="shared" ca="1" si="185"/>
        <v>3.7498308517810055</v>
      </c>
      <c r="H421" s="307">
        <f t="shared" ca="1" si="186"/>
        <v>-52.160646224305708</v>
      </c>
      <c r="I421" s="304">
        <f t="shared" ca="1" si="187"/>
        <v>52.295260262801506</v>
      </c>
      <c r="J421" s="306">
        <f t="shared" ca="1" si="188"/>
        <v>150.09587023194715</v>
      </c>
      <c r="K421" s="307">
        <f t="shared" ca="1" si="189"/>
        <v>-3.2205330112776265</v>
      </c>
      <c r="L421" s="304">
        <f t="shared" ca="1" si="174"/>
        <v>150.13041694993805</v>
      </c>
      <c r="M421" s="306">
        <f t="shared" ca="1" si="190"/>
        <v>-1.499029752756097</v>
      </c>
      <c r="N421" s="304">
        <f t="shared" ca="1" si="191"/>
        <v>-85.888078197463642</v>
      </c>
      <c r="P421" s="310">
        <f t="shared" ca="1" si="192"/>
        <v>23</v>
      </c>
      <c r="Q421" s="304">
        <f t="shared" ca="1" si="193"/>
        <v>0</v>
      </c>
      <c r="R421" s="306">
        <f t="shared" ca="1" si="194"/>
        <v>0</v>
      </c>
      <c r="S421" s="307">
        <f t="shared" ca="1" si="195"/>
        <v>0.4270000000000001</v>
      </c>
      <c r="T421" s="304">
        <f t="shared" ca="1" si="175"/>
        <v>4.1888700000000014</v>
      </c>
      <c r="U421" s="311">
        <f t="shared" ca="1" si="176"/>
        <v>0</v>
      </c>
      <c r="V421" s="306">
        <f t="shared" ca="1" si="177"/>
        <v>1.2253945788315892</v>
      </c>
      <c r="W421" s="304">
        <f t="shared" ca="1" si="178"/>
        <v>3.5448723726748117</v>
      </c>
      <c r="Y421" s="314" t="str">
        <f t="shared" ca="1" si="196"/>
        <v/>
      </c>
      <c r="Z421" s="315" t="str">
        <f t="shared" ca="1" si="197"/>
        <v/>
      </c>
      <c r="AA421" s="316" t="str">
        <f t="shared" ca="1" si="198"/>
        <v/>
      </c>
      <c r="AC421" s="310" t="e">
        <f t="shared" ca="1" si="199"/>
        <v>#N/A</v>
      </c>
      <c r="AD421" s="323" t="e">
        <f t="shared" ca="1" si="200"/>
        <v>#N/A</v>
      </c>
      <c r="AE421" s="324" t="e">
        <f t="shared" ca="1" si="179"/>
        <v>#N/A</v>
      </c>
      <c r="AG421" s="306">
        <f t="shared" ca="1" si="201"/>
        <v>1.4829895604693846</v>
      </c>
      <c r="AH421" s="304">
        <f t="shared" ca="1" si="202"/>
        <v>-8.3017574205534466</v>
      </c>
    </row>
    <row r="422" spans="1:34" x14ac:dyDescent="0.3">
      <c r="A422" s="347">
        <f t="shared" ca="1" si="180"/>
        <v>1E-4</v>
      </c>
      <c r="B422" s="304">
        <f t="shared" ca="1" si="181"/>
        <v>16.107699999999944</v>
      </c>
      <c r="D422" s="306">
        <f t="shared" ca="1" si="182"/>
        <v>-0.59528107786002693</v>
      </c>
      <c r="E422" s="307">
        <f t="shared" ca="1" si="183"/>
        <v>-1.5295609792551783</v>
      </c>
      <c r="F422" s="304">
        <f t="shared" ca="1" si="184"/>
        <v>1.6413154330957398</v>
      </c>
      <c r="G422" s="306">
        <f t="shared" ca="1" si="185"/>
        <v>3.7497713236732193</v>
      </c>
      <c r="H422" s="307">
        <f t="shared" ca="1" si="186"/>
        <v>-52.160799180403636</v>
      </c>
      <c r="I422" s="304">
        <f t="shared" ca="1" si="187"/>
        <v>52.295408556758005</v>
      </c>
      <c r="J422" s="306">
        <f t="shared" ca="1" si="188"/>
        <v>150.09587023194715</v>
      </c>
      <c r="K422" s="307">
        <f t="shared" ca="1" si="189"/>
        <v>-3.2257490835478619</v>
      </c>
      <c r="L422" s="304">
        <f t="shared" ca="1" si="174"/>
        <v>150.13052893344354</v>
      </c>
      <c r="M422" s="306">
        <f t="shared" ca="1" si="190"/>
        <v>-1.4990310978567896</v>
      </c>
      <c r="N422" s="304">
        <f t="shared" ca="1" si="191"/>
        <v>-85.888155266056344</v>
      </c>
      <c r="P422" s="310">
        <f t="shared" ca="1" si="192"/>
        <v>23</v>
      </c>
      <c r="Q422" s="304">
        <f t="shared" ca="1" si="193"/>
        <v>0</v>
      </c>
      <c r="R422" s="306">
        <f t="shared" ca="1" si="194"/>
        <v>0</v>
      </c>
      <c r="S422" s="307">
        <f t="shared" ca="1" si="195"/>
        <v>0.4270000000000001</v>
      </c>
      <c r="T422" s="304">
        <f t="shared" ca="1" si="175"/>
        <v>4.1888700000000014</v>
      </c>
      <c r="U422" s="311">
        <f t="shared" ca="1" si="176"/>
        <v>0</v>
      </c>
      <c r="V422" s="306">
        <f t="shared" ca="1" si="177"/>
        <v>1.2253952180064407</v>
      </c>
      <c r="W422" s="304">
        <f t="shared" ca="1" si="178"/>
        <v>3.5448943261734618</v>
      </c>
      <c r="Y422" s="314" t="str">
        <f t="shared" ca="1" si="196"/>
        <v/>
      </c>
      <c r="Z422" s="315" t="str">
        <f t="shared" ca="1" si="197"/>
        <v/>
      </c>
      <c r="AA422" s="316" t="str">
        <f t="shared" ca="1" si="198"/>
        <v/>
      </c>
      <c r="AC422" s="310" t="e">
        <f t="shared" ca="1" si="199"/>
        <v>#N/A</v>
      </c>
      <c r="AD422" s="323" t="e">
        <f t="shared" ca="1" si="200"/>
        <v>#N/A</v>
      </c>
      <c r="AE422" s="324" t="e">
        <f t="shared" ca="1" si="179"/>
        <v>#N/A</v>
      </c>
      <c r="AG422" s="306">
        <f t="shared" ca="1" si="201"/>
        <v>1.4829390919267311</v>
      </c>
      <c r="AH422" s="304">
        <f t="shared" ca="1" si="202"/>
        <v>-8.3018088353040067</v>
      </c>
    </row>
    <row r="423" spans="1:34" x14ac:dyDescent="0.3">
      <c r="A423" s="347">
        <f t="shared" ca="1" si="180"/>
        <v>1E-4</v>
      </c>
      <c r="B423" s="304">
        <f t="shared" ca="1" si="181"/>
        <v>16.107799999999944</v>
      </c>
      <c r="D423" s="306">
        <f t="shared" ca="1" si="182"/>
        <v>-0.59527362635943581</v>
      </c>
      <c r="E423" s="307">
        <f t="shared" ca="1" si="183"/>
        <v>-1.5295088975428239</v>
      </c>
      <c r="F423" s="304">
        <f t="shared" ca="1" si="184"/>
        <v>1.6412641950343576</v>
      </c>
      <c r="G423" s="306">
        <f t="shared" ca="1" si="185"/>
        <v>3.7497117963105833</v>
      </c>
      <c r="H423" s="307">
        <f t="shared" ca="1" si="186"/>
        <v>-52.160952131293392</v>
      </c>
      <c r="I423" s="304">
        <f t="shared" ca="1" si="187"/>
        <v>52.295556845667797</v>
      </c>
      <c r="J423" s="306">
        <f t="shared" ca="1" si="188"/>
        <v>150.09587023194715</v>
      </c>
      <c r="K423" s="307">
        <f t="shared" ca="1" si="189"/>
        <v>-3.2309651711134468</v>
      </c>
      <c r="L423" s="304">
        <f t="shared" ca="1" si="174"/>
        <v>150.13064109841955</v>
      </c>
      <c r="M423" s="306">
        <f t="shared" ca="1" si="190"/>
        <v>-1.4990324429285005</v>
      </c>
      <c r="N423" s="304">
        <f t="shared" ca="1" si="191"/>
        <v>-85.888232332988522</v>
      </c>
      <c r="P423" s="310">
        <f t="shared" ca="1" si="192"/>
        <v>23</v>
      </c>
      <c r="Q423" s="304">
        <f t="shared" ca="1" si="193"/>
        <v>0</v>
      </c>
      <c r="R423" s="306">
        <f t="shared" ca="1" si="194"/>
        <v>0</v>
      </c>
      <c r="S423" s="307">
        <f t="shared" ca="1" si="195"/>
        <v>0.4270000000000001</v>
      </c>
      <c r="T423" s="304">
        <f t="shared" ca="1" si="175"/>
        <v>4.1888700000000014</v>
      </c>
      <c r="U423" s="311">
        <f t="shared" ca="1" si="176"/>
        <v>0</v>
      </c>
      <c r="V423" s="306">
        <f t="shared" ca="1" si="177"/>
        <v>1.2253958571835004</v>
      </c>
      <c r="W423" s="304">
        <f t="shared" ca="1" si="178"/>
        <v>3.5449162790722886</v>
      </c>
      <c r="Y423" s="314" t="str">
        <f t="shared" ca="1" si="196"/>
        <v/>
      </c>
      <c r="Z423" s="315" t="str">
        <f t="shared" ca="1" si="197"/>
        <v/>
      </c>
      <c r="AA423" s="316" t="str">
        <f t="shared" ca="1" si="198"/>
        <v/>
      </c>
      <c r="AC423" s="310" t="e">
        <f t="shared" ca="1" si="199"/>
        <v>#N/A</v>
      </c>
      <c r="AD423" s="323" t="e">
        <f t="shared" ca="1" si="200"/>
        <v>#N/A</v>
      </c>
      <c r="AE423" s="324" t="e">
        <f t="shared" ca="1" si="179"/>
        <v>#N/A</v>
      </c>
      <c r="AG423" s="306">
        <f t="shared" ca="1" si="201"/>
        <v>1.482888624750764</v>
      </c>
      <c r="AH423" s="304">
        <f t="shared" ca="1" si="202"/>
        <v>-8.3018602486497919</v>
      </c>
    </row>
    <row r="424" spans="1:34" x14ac:dyDescent="0.3">
      <c r="A424" s="347">
        <f t="shared" ca="1" si="180"/>
        <v>1E-4</v>
      </c>
      <c r="B424" s="304">
        <f t="shared" ca="1" si="181"/>
        <v>16.107899999999944</v>
      </c>
      <c r="D424" s="306">
        <f t="shared" ca="1" si="182"/>
        <v>-0.59526617485907263</v>
      </c>
      <c r="E424" s="307">
        <f t="shared" ca="1" si="183"/>
        <v>-1.5294568172539087</v>
      </c>
      <c r="F424" s="304">
        <f t="shared" ca="1" si="184"/>
        <v>1.6412129583865125</v>
      </c>
      <c r="G424" s="306">
        <f t="shared" ca="1" si="185"/>
        <v>3.7496522696930974</v>
      </c>
      <c r="H424" s="307">
        <f t="shared" ca="1" si="186"/>
        <v>-52.161105076975119</v>
      </c>
      <c r="I424" s="304">
        <f t="shared" ca="1" si="187"/>
        <v>52.295705129530987</v>
      </c>
      <c r="J424" s="306">
        <f t="shared" ca="1" si="188"/>
        <v>150.09587023194715</v>
      </c>
      <c r="K424" s="307">
        <f t="shared" ca="1" si="189"/>
        <v>-3.2361812739738602</v>
      </c>
      <c r="L424" s="304">
        <f t="shared" ca="1" si="174"/>
        <v>150.13075344486731</v>
      </c>
      <c r="M424" s="306">
        <f t="shared" ca="1" si="190"/>
        <v>-1.4990337879712305</v>
      </c>
      <c r="N424" s="304">
        <f t="shared" ca="1" si="191"/>
        <v>-85.888309398260219</v>
      </c>
      <c r="P424" s="310">
        <f t="shared" ca="1" si="192"/>
        <v>23</v>
      </c>
      <c r="Q424" s="304">
        <f t="shared" ca="1" si="193"/>
        <v>0</v>
      </c>
      <c r="R424" s="306">
        <f t="shared" ca="1" si="194"/>
        <v>0</v>
      </c>
      <c r="S424" s="307">
        <f t="shared" ca="1" si="195"/>
        <v>0.4270000000000001</v>
      </c>
      <c r="T424" s="304">
        <f t="shared" ca="1" si="175"/>
        <v>4.1888700000000014</v>
      </c>
      <c r="U424" s="311">
        <f t="shared" ca="1" si="176"/>
        <v>0</v>
      </c>
      <c r="V424" s="306">
        <f t="shared" ca="1" si="177"/>
        <v>1.225396496362767</v>
      </c>
      <c r="W424" s="304">
        <f t="shared" ca="1" si="178"/>
        <v>3.5449382313712983</v>
      </c>
      <c r="Y424" s="314" t="str">
        <f t="shared" ca="1" si="196"/>
        <v/>
      </c>
      <c r="Z424" s="315" t="str">
        <f t="shared" ca="1" si="197"/>
        <v/>
      </c>
      <c r="AA424" s="316" t="str">
        <f t="shared" ca="1" si="198"/>
        <v/>
      </c>
      <c r="AC424" s="310" t="e">
        <f t="shared" ca="1" si="199"/>
        <v>#N/A</v>
      </c>
      <c r="AD424" s="323" t="e">
        <f t="shared" ca="1" si="200"/>
        <v>#N/A</v>
      </c>
      <c r="AE424" s="324" t="e">
        <f t="shared" ca="1" si="179"/>
        <v>#N/A</v>
      </c>
      <c r="AG424" s="306">
        <f t="shared" ca="1" si="201"/>
        <v>1.4828381589414459</v>
      </c>
      <c r="AH424" s="304">
        <f t="shared" ca="1" si="202"/>
        <v>-8.3019116605908376</v>
      </c>
    </row>
    <row r="425" spans="1:34" x14ac:dyDescent="0.3">
      <c r="A425" s="347">
        <f t="shared" ca="1" si="180"/>
        <v>1E-4</v>
      </c>
      <c r="B425" s="304">
        <f t="shared" ca="1" si="181"/>
        <v>16.107999999999944</v>
      </c>
      <c r="D425" s="306">
        <f t="shared" ca="1" si="182"/>
        <v>-0.59525872335894137</v>
      </c>
      <c r="E425" s="307">
        <f t="shared" ca="1" si="183"/>
        <v>-1.5294047383884184</v>
      </c>
      <c r="F425" s="304">
        <f t="shared" ca="1" si="184"/>
        <v>1.6411617231521893</v>
      </c>
      <c r="G425" s="306">
        <f t="shared" ca="1" si="185"/>
        <v>3.7495927438207617</v>
      </c>
      <c r="H425" s="307">
        <f t="shared" ca="1" si="186"/>
        <v>-52.161258017448958</v>
      </c>
      <c r="I425" s="304">
        <f t="shared" ca="1" si="187"/>
        <v>52.295853408347746</v>
      </c>
      <c r="J425" s="306">
        <f t="shared" ca="1" si="188"/>
        <v>150.09587023194715</v>
      </c>
      <c r="K425" s="307">
        <f t="shared" ca="1" si="189"/>
        <v>-3.2413973921285812</v>
      </c>
      <c r="L425" s="304">
        <f t="shared" ca="1" si="174"/>
        <v>150.13086597278794</v>
      </c>
      <c r="M425" s="306">
        <f t="shared" ca="1" si="190"/>
        <v>-1.4990351329849807</v>
      </c>
      <c r="N425" s="304">
        <f t="shared" ca="1" si="191"/>
        <v>-85.888386461871491</v>
      </c>
      <c r="P425" s="310">
        <f t="shared" ca="1" si="192"/>
        <v>23</v>
      </c>
      <c r="Q425" s="304">
        <f t="shared" ca="1" si="193"/>
        <v>0</v>
      </c>
      <c r="R425" s="306">
        <f t="shared" ca="1" si="194"/>
        <v>0</v>
      </c>
      <c r="S425" s="307">
        <f t="shared" ca="1" si="195"/>
        <v>0.4270000000000001</v>
      </c>
      <c r="T425" s="304">
        <f t="shared" ca="1" si="175"/>
        <v>4.1888700000000014</v>
      </c>
      <c r="U425" s="311">
        <f t="shared" ca="1" si="176"/>
        <v>0</v>
      </c>
      <c r="V425" s="306">
        <f t="shared" ca="1" si="177"/>
        <v>1.2253971355442417</v>
      </c>
      <c r="W425" s="304">
        <f t="shared" ca="1" si="178"/>
        <v>3.5449601830705073</v>
      </c>
      <c r="Y425" s="314" t="str">
        <f t="shared" ca="1" si="196"/>
        <v/>
      </c>
      <c r="Z425" s="315" t="str">
        <f t="shared" ca="1" si="197"/>
        <v/>
      </c>
      <c r="AA425" s="316" t="str">
        <f t="shared" ca="1" si="198"/>
        <v/>
      </c>
      <c r="AC425" s="310" t="e">
        <f t="shared" ca="1" si="199"/>
        <v>#N/A</v>
      </c>
      <c r="AD425" s="323" t="e">
        <f t="shared" ca="1" si="200"/>
        <v>#N/A</v>
      </c>
      <c r="AE425" s="324" t="e">
        <f t="shared" ca="1" si="179"/>
        <v>#N/A</v>
      </c>
      <c r="AG425" s="306">
        <f t="shared" ca="1" si="201"/>
        <v>1.4827876944987644</v>
      </c>
      <c r="AH425" s="304">
        <f t="shared" ca="1" si="202"/>
        <v>-8.3019630711271599</v>
      </c>
    </row>
    <row r="426" spans="1:34" x14ac:dyDescent="0.3">
      <c r="A426" s="347">
        <f t="shared" ca="1" si="180"/>
        <v>1E-4</v>
      </c>
      <c r="B426" s="304">
        <f t="shared" ca="1" si="181"/>
        <v>16.108099999999943</v>
      </c>
      <c r="D426" s="306">
        <f t="shared" ca="1" si="182"/>
        <v>-0.59525127185904769</v>
      </c>
      <c r="E426" s="307">
        <f t="shared" ca="1" si="183"/>
        <v>-1.5293526609463104</v>
      </c>
      <c r="F426" s="304">
        <f t="shared" ca="1" si="184"/>
        <v>1.6411104893313473</v>
      </c>
      <c r="G426" s="306">
        <f t="shared" ca="1" si="185"/>
        <v>3.7495332186935757</v>
      </c>
      <c r="H426" s="307">
        <f t="shared" ca="1" si="186"/>
        <v>-52.161410952715052</v>
      </c>
      <c r="I426" s="304">
        <f t="shared" ca="1" si="187"/>
        <v>52.296001682118188</v>
      </c>
      <c r="J426" s="306">
        <f t="shared" ca="1" si="188"/>
        <v>150.09587023194715</v>
      </c>
      <c r="K426" s="307">
        <f t="shared" ca="1" si="189"/>
        <v>-3.2466135255770894</v>
      </c>
      <c r="L426" s="304">
        <f t="shared" ca="1" si="174"/>
        <v>150.13097868218264</v>
      </c>
      <c r="M426" s="306">
        <f t="shared" ca="1" si="190"/>
        <v>-1.4990364779697518</v>
      </c>
      <c r="N426" s="304">
        <f t="shared" ca="1" si="191"/>
        <v>-85.888463523822381</v>
      </c>
      <c r="P426" s="310">
        <f t="shared" ca="1" si="192"/>
        <v>23</v>
      </c>
      <c r="Q426" s="304">
        <f t="shared" ca="1" si="193"/>
        <v>0</v>
      </c>
      <c r="R426" s="306">
        <f t="shared" ca="1" si="194"/>
        <v>0</v>
      </c>
      <c r="S426" s="307">
        <f t="shared" ca="1" si="195"/>
        <v>0.4270000000000001</v>
      </c>
      <c r="T426" s="304">
        <f t="shared" ca="1" si="175"/>
        <v>4.1888700000000014</v>
      </c>
      <c r="U426" s="311">
        <f t="shared" ca="1" si="176"/>
        <v>0</v>
      </c>
      <c r="V426" s="306">
        <f t="shared" ca="1" si="177"/>
        <v>1.2253977747279239</v>
      </c>
      <c r="W426" s="304">
        <f t="shared" ca="1" si="178"/>
        <v>3.5449821341699264</v>
      </c>
      <c r="Y426" s="314" t="str">
        <f t="shared" ca="1" si="196"/>
        <v/>
      </c>
      <c r="Z426" s="315" t="str">
        <f t="shared" ca="1" si="197"/>
        <v/>
      </c>
      <c r="AA426" s="316" t="str">
        <f t="shared" ca="1" si="198"/>
        <v/>
      </c>
      <c r="AC426" s="310" t="e">
        <f t="shared" ca="1" si="199"/>
        <v>#N/A</v>
      </c>
      <c r="AD426" s="323" t="e">
        <f t="shared" ca="1" si="200"/>
        <v>#N/A</v>
      </c>
      <c r="AE426" s="324" t="e">
        <f t="shared" ca="1" si="179"/>
        <v>#N/A</v>
      </c>
      <c r="AG426" s="306">
        <f t="shared" ca="1" si="201"/>
        <v>1.4827372314226821</v>
      </c>
      <c r="AH426" s="304">
        <f t="shared" ca="1" si="202"/>
        <v>-8.3020144802587978</v>
      </c>
    </row>
    <row r="427" spans="1:34" x14ac:dyDescent="0.3">
      <c r="A427" s="347">
        <f t="shared" ca="1" si="180"/>
        <v>1E-4</v>
      </c>
      <c r="B427" s="304">
        <f t="shared" ca="1" si="181"/>
        <v>16.108199999999943</v>
      </c>
      <c r="D427" s="306">
        <f t="shared" ca="1" si="182"/>
        <v>-0.59524382035939605</v>
      </c>
      <c r="E427" s="307">
        <f t="shared" ca="1" si="183"/>
        <v>-1.5293005849275652</v>
      </c>
      <c r="F427" s="304">
        <f t="shared" ca="1" si="184"/>
        <v>1.6410592569239666</v>
      </c>
      <c r="G427" s="306">
        <f t="shared" ca="1" si="185"/>
        <v>3.7494736943115399</v>
      </c>
      <c r="H427" s="307">
        <f t="shared" ca="1" si="186"/>
        <v>-52.161563882773542</v>
      </c>
      <c r="I427" s="304">
        <f t="shared" ca="1" si="187"/>
        <v>52.296149950842455</v>
      </c>
      <c r="J427" s="306">
        <f t="shared" ca="1" si="188"/>
        <v>150.09587023194715</v>
      </c>
      <c r="K427" s="307">
        <f t="shared" ca="1" si="189"/>
        <v>-3.2518296743188637</v>
      </c>
      <c r="L427" s="304">
        <f t="shared" ca="1" si="174"/>
        <v>150.13109157305257</v>
      </c>
      <c r="M427" s="306">
        <f t="shared" ca="1" si="190"/>
        <v>-1.4990378229255445</v>
      </c>
      <c r="N427" s="304">
        <f t="shared" ca="1" si="191"/>
        <v>-85.888540584112945</v>
      </c>
      <c r="P427" s="310">
        <f t="shared" ca="1" si="192"/>
        <v>23</v>
      </c>
      <c r="Q427" s="304">
        <f t="shared" ca="1" si="193"/>
        <v>0</v>
      </c>
      <c r="R427" s="306">
        <f t="shared" ca="1" si="194"/>
        <v>0</v>
      </c>
      <c r="S427" s="307">
        <f t="shared" ca="1" si="195"/>
        <v>0.4270000000000001</v>
      </c>
      <c r="T427" s="304">
        <f t="shared" ca="1" si="175"/>
        <v>4.1888700000000014</v>
      </c>
      <c r="U427" s="311">
        <f t="shared" ca="1" si="176"/>
        <v>0</v>
      </c>
      <c r="V427" s="306">
        <f t="shared" ca="1" si="177"/>
        <v>1.2253984139138134</v>
      </c>
      <c r="W427" s="304">
        <f t="shared" ca="1" si="178"/>
        <v>3.5450040846695652</v>
      </c>
      <c r="Y427" s="314" t="str">
        <f t="shared" ca="1" si="196"/>
        <v/>
      </c>
      <c r="Z427" s="315" t="str">
        <f t="shared" ca="1" si="197"/>
        <v/>
      </c>
      <c r="AA427" s="316" t="str">
        <f t="shared" ca="1" si="198"/>
        <v/>
      </c>
      <c r="AC427" s="310" t="e">
        <f t="shared" ca="1" si="199"/>
        <v>#N/A</v>
      </c>
      <c r="AD427" s="323" t="e">
        <f t="shared" ca="1" si="200"/>
        <v>#N/A</v>
      </c>
      <c r="AE427" s="324" t="e">
        <f t="shared" ca="1" si="179"/>
        <v>#N/A</v>
      </c>
      <c r="AG427" s="306">
        <f t="shared" ca="1" si="201"/>
        <v>1.482686769713176</v>
      </c>
      <c r="AH427" s="304">
        <f t="shared" ca="1" si="202"/>
        <v>-8.3020658879857745</v>
      </c>
    </row>
    <row r="428" spans="1:34" x14ac:dyDescent="0.3">
      <c r="A428" s="347">
        <f t="shared" ca="1" si="180"/>
        <v>1E-4</v>
      </c>
      <c r="B428" s="304">
        <f t="shared" ca="1" si="181"/>
        <v>16.108299999999943</v>
      </c>
      <c r="D428" s="306">
        <f t="shared" ca="1" si="182"/>
        <v>-0.59523636885999276</v>
      </c>
      <c r="E428" s="307">
        <f t="shared" ca="1" si="183"/>
        <v>-1.529248510332156</v>
      </c>
      <c r="F428" s="304">
        <f t="shared" ca="1" si="184"/>
        <v>1.6410080259300219</v>
      </c>
      <c r="G428" s="306">
        <f t="shared" ca="1" si="185"/>
        <v>3.7494141706746538</v>
      </c>
      <c r="H428" s="307">
        <f t="shared" ca="1" si="186"/>
        <v>-52.161716807624579</v>
      </c>
      <c r="I428" s="304">
        <f t="shared" ca="1" si="187"/>
        <v>52.296298214520689</v>
      </c>
      <c r="J428" s="306">
        <f t="shared" ca="1" si="188"/>
        <v>150.09587023194715</v>
      </c>
      <c r="K428" s="307">
        <f t="shared" ca="1" si="189"/>
        <v>-3.2570458383533838</v>
      </c>
      <c r="L428" s="304">
        <f t="shared" ca="1" si="174"/>
        <v>150.13120464539892</v>
      </c>
      <c r="M428" s="306">
        <f t="shared" ca="1" si="190"/>
        <v>-1.4990391678523598</v>
      </c>
      <c r="N428" s="304">
        <f t="shared" ca="1" si="191"/>
        <v>-85.888617642743213</v>
      </c>
      <c r="P428" s="310">
        <f t="shared" ca="1" si="192"/>
        <v>23</v>
      </c>
      <c r="Q428" s="304">
        <f t="shared" ca="1" si="193"/>
        <v>0</v>
      </c>
      <c r="R428" s="306">
        <f t="shared" ca="1" si="194"/>
        <v>0</v>
      </c>
      <c r="S428" s="307">
        <f t="shared" ca="1" si="195"/>
        <v>0.4270000000000001</v>
      </c>
      <c r="T428" s="304">
        <f t="shared" ca="1" si="175"/>
        <v>4.1888700000000014</v>
      </c>
      <c r="U428" s="311">
        <f t="shared" ca="1" si="176"/>
        <v>0</v>
      </c>
      <c r="V428" s="306">
        <f t="shared" ca="1" si="177"/>
        <v>1.2253990531019106</v>
      </c>
      <c r="W428" s="304">
        <f t="shared" ca="1" si="178"/>
        <v>3.5450260345694375</v>
      </c>
      <c r="Y428" s="314" t="str">
        <f t="shared" ca="1" si="196"/>
        <v/>
      </c>
      <c r="Z428" s="315" t="str">
        <f t="shared" ca="1" si="197"/>
        <v/>
      </c>
      <c r="AA428" s="316" t="str">
        <f t="shared" ca="1" si="198"/>
        <v/>
      </c>
      <c r="AC428" s="310" t="e">
        <f t="shared" ca="1" si="199"/>
        <v>#N/A</v>
      </c>
      <c r="AD428" s="323" t="e">
        <f t="shared" ca="1" si="200"/>
        <v>#N/A</v>
      </c>
      <c r="AE428" s="324" t="e">
        <f t="shared" ca="1" si="179"/>
        <v>#N/A</v>
      </c>
      <c r="AG428" s="306">
        <f t="shared" ca="1" si="201"/>
        <v>1.4826363093702248</v>
      </c>
      <c r="AH428" s="304">
        <f t="shared" ca="1" si="202"/>
        <v>-8.302117294308113</v>
      </c>
    </row>
    <row r="429" spans="1:34" x14ac:dyDescent="0.3">
      <c r="A429" s="347">
        <f t="shared" ca="1" si="180"/>
        <v>1E-4</v>
      </c>
      <c r="B429" s="304">
        <f t="shared" ca="1" si="181"/>
        <v>16.108399999999943</v>
      </c>
      <c r="D429" s="306">
        <f t="shared" ca="1" si="182"/>
        <v>-0.59522891736084305</v>
      </c>
      <c r="E429" s="307">
        <f t="shared" ca="1" si="183"/>
        <v>-1.5291964371600493</v>
      </c>
      <c r="F429" s="304">
        <f t="shared" ca="1" si="184"/>
        <v>1.6409567963494802</v>
      </c>
      <c r="G429" s="306">
        <f t="shared" ca="1" si="185"/>
        <v>3.7493546477829178</v>
      </c>
      <c r="H429" s="307">
        <f t="shared" ca="1" si="186"/>
        <v>-52.161869727268297</v>
      </c>
      <c r="I429" s="304">
        <f t="shared" ca="1" si="187"/>
        <v>52.296446473153033</v>
      </c>
      <c r="J429" s="306">
        <f t="shared" ca="1" si="188"/>
        <v>150.09587023194715</v>
      </c>
      <c r="K429" s="307">
        <f t="shared" ca="1" si="189"/>
        <v>-3.2622620176801282</v>
      </c>
      <c r="L429" s="304">
        <f t="shared" ca="1" si="174"/>
        <v>150.13131789922286</v>
      </c>
      <c r="M429" s="306">
        <f t="shared" ca="1" si="190"/>
        <v>-1.4990405127501985</v>
      </c>
      <c r="N429" s="304">
        <f t="shared" ca="1" si="191"/>
        <v>-85.888694699713241</v>
      </c>
      <c r="P429" s="310">
        <f t="shared" ca="1" si="192"/>
        <v>23</v>
      </c>
      <c r="Q429" s="304">
        <f t="shared" ca="1" si="193"/>
        <v>0</v>
      </c>
      <c r="R429" s="306">
        <f t="shared" ca="1" si="194"/>
        <v>0</v>
      </c>
      <c r="S429" s="307">
        <f t="shared" ca="1" si="195"/>
        <v>0.4270000000000001</v>
      </c>
      <c r="T429" s="304">
        <f t="shared" ca="1" si="175"/>
        <v>4.1888700000000014</v>
      </c>
      <c r="U429" s="311">
        <f t="shared" ca="1" si="176"/>
        <v>0</v>
      </c>
      <c r="V429" s="306">
        <f t="shared" ca="1" si="177"/>
        <v>1.2253996922922152</v>
      </c>
      <c r="W429" s="304">
        <f t="shared" ca="1" si="178"/>
        <v>3.5450479838695568</v>
      </c>
      <c r="Y429" s="314" t="str">
        <f t="shared" ca="1" si="196"/>
        <v/>
      </c>
      <c r="Z429" s="315" t="str">
        <f t="shared" ca="1" si="197"/>
        <v/>
      </c>
      <c r="AA429" s="316" t="str">
        <f t="shared" ca="1" si="198"/>
        <v/>
      </c>
      <c r="AC429" s="310" t="e">
        <f t="shared" ca="1" si="199"/>
        <v>#N/A</v>
      </c>
      <c r="AD429" s="323" t="e">
        <f t="shared" ca="1" si="200"/>
        <v>#N/A</v>
      </c>
      <c r="AE429" s="324" t="e">
        <f t="shared" ca="1" si="179"/>
        <v>#N/A</v>
      </c>
      <c r="AG429" s="306">
        <f t="shared" ca="1" si="201"/>
        <v>1.4825858503938001</v>
      </c>
      <c r="AH429" s="304">
        <f t="shared" ca="1" si="202"/>
        <v>-8.302168699225847</v>
      </c>
    </row>
    <row r="430" spans="1:34" x14ac:dyDescent="0.3">
      <c r="A430" s="347">
        <f t="shared" ca="1" si="180"/>
        <v>1E-4</v>
      </c>
      <c r="B430" s="304">
        <f t="shared" ca="1" si="181"/>
        <v>16.108499999999943</v>
      </c>
      <c r="D430" s="306">
        <f t="shared" ca="1" si="182"/>
        <v>-0.59522146586195213</v>
      </c>
      <c r="E430" s="307">
        <f t="shared" ca="1" si="183"/>
        <v>-1.5291443654112147</v>
      </c>
      <c r="F430" s="304">
        <f t="shared" ca="1" si="184"/>
        <v>1.6409055681823124</v>
      </c>
      <c r="G430" s="306">
        <f t="shared" ca="1" si="185"/>
        <v>3.7492951256363316</v>
      </c>
      <c r="H430" s="307">
        <f t="shared" ca="1" si="186"/>
        <v>-52.162022641704837</v>
      </c>
      <c r="I430" s="304">
        <f t="shared" ca="1" si="187"/>
        <v>52.296594726739599</v>
      </c>
      <c r="J430" s="306">
        <f t="shared" ca="1" si="188"/>
        <v>150.09587023194715</v>
      </c>
      <c r="K430" s="307">
        <f t="shared" ca="1" si="189"/>
        <v>-3.267478212298577</v>
      </c>
      <c r="L430" s="304">
        <f t="shared" ca="1" si="174"/>
        <v>150.13143133452556</v>
      </c>
      <c r="M430" s="306">
        <f t="shared" ca="1" si="190"/>
        <v>-1.4990418576190612</v>
      </c>
      <c r="N430" s="304">
        <f t="shared" ca="1" si="191"/>
        <v>-85.888771755023072</v>
      </c>
      <c r="P430" s="310">
        <f t="shared" ca="1" si="192"/>
        <v>23</v>
      </c>
      <c r="Q430" s="304">
        <f t="shared" ca="1" si="193"/>
        <v>0</v>
      </c>
      <c r="R430" s="306">
        <f t="shared" ca="1" si="194"/>
        <v>0</v>
      </c>
      <c r="S430" s="307">
        <f t="shared" ca="1" si="195"/>
        <v>0.4270000000000001</v>
      </c>
      <c r="T430" s="304">
        <f t="shared" ca="1" si="175"/>
        <v>4.1888700000000014</v>
      </c>
      <c r="U430" s="311">
        <f t="shared" ca="1" si="176"/>
        <v>0</v>
      </c>
      <c r="V430" s="306">
        <f t="shared" ca="1" si="177"/>
        <v>1.2254003314847268</v>
      </c>
      <c r="W430" s="304">
        <f t="shared" ca="1" si="178"/>
        <v>3.5450699325699286</v>
      </c>
      <c r="Y430" s="314" t="str">
        <f t="shared" ca="1" si="196"/>
        <v/>
      </c>
      <c r="Z430" s="315" t="str">
        <f t="shared" ca="1" si="197"/>
        <v/>
      </c>
      <c r="AA430" s="316" t="str">
        <f t="shared" ca="1" si="198"/>
        <v/>
      </c>
      <c r="AC430" s="310" t="e">
        <f t="shared" ca="1" si="199"/>
        <v>#N/A</v>
      </c>
      <c r="AD430" s="323" t="e">
        <f t="shared" ca="1" si="200"/>
        <v>#N/A</v>
      </c>
      <c r="AE430" s="324" t="e">
        <f t="shared" ca="1" si="179"/>
        <v>#N/A</v>
      </c>
      <c r="AG430" s="306">
        <f t="shared" ca="1" si="201"/>
        <v>1.482535392783868</v>
      </c>
      <c r="AH430" s="304">
        <f t="shared" ca="1" si="202"/>
        <v>-8.3022201027390068</v>
      </c>
    </row>
    <row r="431" spans="1:34" x14ac:dyDescent="0.3">
      <c r="A431" s="347">
        <f t="shared" ca="1" si="180"/>
        <v>1E-4</v>
      </c>
      <c r="B431" s="304">
        <f t="shared" ca="1" si="181"/>
        <v>16.108599999999942</v>
      </c>
      <c r="D431" s="306">
        <f t="shared" ca="1" si="182"/>
        <v>-0.59521401436332522</v>
      </c>
      <c r="E431" s="307">
        <f t="shared" ca="1" si="183"/>
        <v>-1.5290922950856398</v>
      </c>
      <c r="F431" s="304">
        <f t="shared" ca="1" si="184"/>
        <v>1.6408543414285055</v>
      </c>
      <c r="G431" s="306">
        <f t="shared" ca="1" si="185"/>
        <v>3.7492356042348951</v>
      </c>
      <c r="H431" s="307">
        <f t="shared" ca="1" si="186"/>
        <v>-52.162175550934343</v>
      </c>
      <c r="I431" s="304">
        <f t="shared" ca="1" si="187"/>
        <v>52.296742975280544</v>
      </c>
      <c r="J431" s="306">
        <f t="shared" ca="1" si="188"/>
        <v>150.09587023194715</v>
      </c>
      <c r="K431" s="307">
        <f t="shared" ca="1" si="189"/>
        <v>-3.2726944222082088</v>
      </c>
      <c r="L431" s="304">
        <f t="shared" ca="1" si="174"/>
        <v>150.13154495130817</v>
      </c>
      <c r="M431" s="306">
        <f t="shared" ca="1" si="190"/>
        <v>-1.4990432024589491</v>
      </c>
      <c r="N431" s="304">
        <f t="shared" ca="1" si="191"/>
        <v>-85.888848808672776</v>
      </c>
      <c r="P431" s="310">
        <f t="shared" ca="1" si="192"/>
        <v>23</v>
      </c>
      <c r="Q431" s="304">
        <f t="shared" ca="1" si="193"/>
        <v>0</v>
      </c>
      <c r="R431" s="306">
        <f t="shared" ca="1" si="194"/>
        <v>0</v>
      </c>
      <c r="S431" s="307">
        <f t="shared" ca="1" si="195"/>
        <v>0.4270000000000001</v>
      </c>
      <c r="T431" s="304">
        <f t="shared" ca="1" si="175"/>
        <v>4.1888700000000014</v>
      </c>
      <c r="U431" s="311">
        <f t="shared" ca="1" si="176"/>
        <v>0</v>
      </c>
      <c r="V431" s="306">
        <f t="shared" ca="1" si="177"/>
        <v>1.225400970679446</v>
      </c>
      <c r="W431" s="304">
        <f t="shared" ca="1" si="178"/>
        <v>3.5450918806705696</v>
      </c>
      <c r="Y431" s="314" t="str">
        <f t="shared" ca="1" si="196"/>
        <v/>
      </c>
      <c r="Z431" s="315" t="str">
        <f t="shared" ca="1" si="197"/>
        <v/>
      </c>
      <c r="AA431" s="316" t="str">
        <f t="shared" ca="1" si="198"/>
        <v/>
      </c>
      <c r="AC431" s="310" t="e">
        <f t="shared" ca="1" si="199"/>
        <v>#N/A</v>
      </c>
      <c r="AD431" s="323" t="e">
        <f t="shared" ca="1" si="200"/>
        <v>#N/A</v>
      </c>
      <c r="AE431" s="324" t="e">
        <f t="shared" ca="1" si="179"/>
        <v>#N/A</v>
      </c>
      <c r="AG431" s="306">
        <f t="shared" ca="1" si="201"/>
        <v>1.4824849365404216</v>
      </c>
      <c r="AH431" s="304">
        <f t="shared" ca="1" si="202"/>
        <v>-8.3022715048476066</v>
      </c>
    </row>
    <row r="432" spans="1:34" x14ac:dyDescent="0.3">
      <c r="A432" s="347">
        <f t="shared" ca="1" si="180"/>
        <v>1E-4</v>
      </c>
      <c r="B432" s="304">
        <f t="shared" ca="1" si="181"/>
        <v>16.108699999999942</v>
      </c>
      <c r="D432" s="306">
        <f t="shared" ca="1" si="182"/>
        <v>-0.59520656286496632</v>
      </c>
      <c r="E432" s="307">
        <f t="shared" ca="1" si="183"/>
        <v>-1.5290402261832821</v>
      </c>
      <c r="F432" s="304">
        <f t="shared" ca="1" si="184"/>
        <v>1.6408031160880179</v>
      </c>
      <c r="G432" s="306">
        <f t="shared" ca="1" si="185"/>
        <v>3.7491760835786088</v>
      </c>
      <c r="H432" s="307">
        <f t="shared" ca="1" si="186"/>
        <v>-52.162328454956963</v>
      </c>
      <c r="I432" s="304">
        <f t="shared" ca="1" si="187"/>
        <v>52.296891218776004</v>
      </c>
      <c r="J432" s="306">
        <f t="shared" ca="1" si="188"/>
        <v>150.09587023194715</v>
      </c>
      <c r="K432" s="307">
        <f t="shared" ca="1" si="189"/>
        <v>-3.2779106474085036</v>
      </c>
      <c r="L432" s="304">
        <f t="shared" ca="1" si="174"/>
        <v>150.1316587495719</v>
      </c>
      <c r="M432" s="306">
        <f t="shared" ca="1" si="190"/>
        <v>-1.4990445472698628</v>
      </c>
      <c r="N432" s="304">
        <f t="shared" ca="1" si="191"/>
        <v>-85.888925860662368</v>
      </c>
      <c r="P432" s="310">
        <f t="shared" ca="1" si="192"/>
        <v>23</v>
      </c>
      <c r="Q432" s="304">
        <f t="shared" ca="1" si="193"/>
        <v>0</v>
      </c>
      <c r="R432" s="306">
        <f t="shared" ca="1" si="194"/>
        <v>0</v>
      </c>
      <c r="S432" s="307">
        <f t="shared" ca="1" si="195"/>
        <v>0.4270000000000001</v>
      </c>
      <c r="T432" s="304">
        <f t="shared" ca="1" si="175"/>
        <v>4.1888700000000014</v>
      </c>
      <c r="U432" s="311">
        <f t="shared" ca="1" si="176"/>
        <v>0</v>
      </c>
      <c r="V432" s="306">
        <f t="shared" ca="1" si="177"/>
        <v>1.225401609876372</v>
      </c>
      <c r="W432" s="304">
        <f t="shared" ca="1" si="178"/>
        <v>3.5451138281714907</v>
      </c>
      <c r="Y432" s="314" t="str">
        <f t="shared" ca="1" si="196"/>
        <v/>
      </c>
      <c r="Z432" s="315" t="str">
        <f t="shared" ca="1" si="197"/>
        <v/>
      </c>
      <c r="AA432" s="316" t="str">
        <f t="shared" ca="1" si="198"/>
        <v/>
      </c>
      <c r="AC432" s="310" t="e">
        <f t="shared" ca="1" si="199"/>
        <v>#N/A</v>
      </c>
      <c r="AD432" s="323" t="e">
        <f t="shared" ca="1" si="200"/>
        <v>#N/A</v>
      </c>
      <c r="AE432" s="324" t="e">
        <f t="shared" ca="1" si="179"/>
        <v>#N/A</v>
      </c>
      <c r="AG432" s="306">
        <f t="shared" ca="1" si="201"/>
        <v>1.4824344816634216</v>
      </c>
      <c r="AH432" s="304">
        <f t="shared" ca="1" si="202"/>
        <v>-8.3023229055516836</v>
      </c>
    </row>
    <row r="433" spans="1:34" x14ac:dyDescent="0.3">
      <c r="A433" s="347">
        <f t="shared" ca="1" si="180"/>
        <v>1E-4</v>
      </c>
      <c r="B433" s="304">
        <f t="shared" ca="1" si="181"/>
        <v>16.108799999999942</v>
      </c>
      <c r="D433" s="306">
        <f t="shared" ca="1" si="182"/>
        <v>-0.59519911136688197</v>
      </c>
      <c r="E433" s="307">
        <f t="shared" ca="1" si="183"/>
        <v>-1.5289881587041201</v>
      </c>
      <c r="F433" s="304">
        <f t="shared" ca="1" si="184"/>
        <v>1.6407518921608293</v>
      </c>
      <c r="G433" s="306">
        <f t="shared" ca="1" si="185"/>
        <v>3.7491165636674721</v>
      </c>
      <c r="H433" s="307">
        <f t="shared" ca="1" si="186"/>
        <v>-52.162481353772833</v>
      </c>
      <c r="I433" s="304">
        <f t="shared" ca="1" si="187"/>
        <v>52.297039457226106</v>
      </c>
      <c r="J433" s="306">
        <f t="shared" ca="1" si="188"/>
        <v>150.09587023194715</v>
      </c>
      <c r="K433" s="307">
        <f t="shared" ca="1" si="189"/>
        <v>-3.2831268878989399</v>
      </c>
      <c r="L433" s="304">
        <f t="shared" ca="1" si="174"/>
        <v>150.1317727293179</v>
      </c>
      <c r="M433" s="306">
        <f t="shared" ca="1" si="190"/>
        <v>-1.4990458920518033</v>
      </c>
      <c r="N433" s="304">
        <f t="shared" ca="1" si="191"/>
        <v>-85.88900291099192</v>
      </c>
      <c r="P433" s="310">
        <f t="shared" ca="1" si="192"/>
        <v>23</v>
      </c>
      <c r="Q433" s="304">
        <f t="shared" ca="1" si="193"/>
        <v>0</v>
      </c>
      <c r="R433" s="306">
        <f t="shared" ca="1" si="194"/>
        <v>0</v>
      </c>
      <c r="S433" s="307">
        <f t="shared" ca="1" si="195"/>
        <v>0.4270000000000001</v>
      </c>
      <c r="T433" s="304">
        <f t="shared" ca="1" si="175"/>
        <v>4.1888700000000014</v>
      </c>
      <c r="U433" s="311">
        <f t="shared" ca="1" si="176"/>
        <v>0</v>
      </c>
      <c r="V433" s="306">
        <f t="shared" ca="1" si="177"/>
        <v>1.2254022490755052</v>
      </c>
      <c r="W433" s="304">
        <f t="shared" ca="1" si="178"/>
        <v>3.5451357750727017</v>
      </c>
      <c r="Y433" s="314" t="str">
        <f t="shared" ca="1" si="196"/>
        <v/>
      </c>
      <c r="Z433" s="315" t="str">
        <f t="shared" ca="1" si="197"/>
        <v/>
      </c>
      <c r="AA433" s="316" t="str">
        <f t="shared" ca="1" si="198"/>
        <v/>
      </c>
      <c r="AC433" s="310" t="e">
        <f t="shared" ca="1" si="199"/>
        <v>#N/A</v>
      </c>
      <c r="AD433" s="323" t="e">
        <f t="shared" ca="1" si="200"/>
        <v>#N/A</v>
      </c>
      <c r="AE433" s="324" t="e">
        <f t="shared" ca="1" si="179"/>
        <v>#N/A</v>
      </c>
      <c r="AG433" s="306">
        <f t="shared" ca="1" si="201"/>
        <v>1.4823840281528433</v>
      </c>
      <c r="AH433" s="304">
        <f t="shared" ca="1" si="202"/>
        <v>-8.3023743048512646</v>
      </c>
    </row>
    <row r="434" spans="1:34" x14ac:dyDescent="0.3">
      <c r="A434" s="347">
        <f t="shared" ca="1" si="180"/>
        <v>1E-4</v>
      </c>
      <c r="B434" s="304">
        <f t="shared" ca="1" si="181"/>
        <v>16.108899999999942</v>
      </c>
      <c r="D434" s="306">
        <f t="shared" ca="1" si="182"/>
        <v>-0.59519165986907663</v>
      </c>
      <c r="E434" s="307">
        <f t="shared" ca="1" si="183"/>
        <v>-1.5289360926481255</v>
      </c>
      <c r="F434" s="304">
        <f t="shared" ca="1" si="184"/>
        <v>1.6407006696469115</v>
      </c>
      <c r="G434" s="306">
        <f t="shared" ca="1" si="185"/>
        <v>3.7490570445014852</v>
      </c>
      <c r="H434" s="307">
        <f t="shared" ca="1" si="186"/>
        <v>-52.162634247382101</v>
      </c>
      <c r="I434" s="304">
        <f t="shared" ca="1" si="187"/>
        <v>52.297187690630992</v>
      </c>
      <c r="J434" s="306">
        <f t="shared" ca="1" si="188"/>
        <v>150.09587023194715</v>
      </c>
      <c r="K434" s="307">
        <f t="shared" ca="1" si="189"/>
        <v>-3.2883431436789978</v>
      </c>
      <c r="L434" s="304">
        <f t="shared" ca="1" si="174"/>
        <v>150.13188689054732</v>
      </c>
      <c r="M434" s="306">
        <f t="shared" ca="1" si="190"/>
        <v>-1.4990472368047714</v>
      </c>
      <c r="N434" s="304">
        <f t="shared" ca="1" si="191"/>
        <v>-85.889079959661487</v>
      </c>
      <c r="P434" s="310">
        <f t="shared" ca="1" si="192"/>
        <v>23</v>
      </c>
      <c r="Q434" s="304">
        <f t="shared" ca="1" si="193"/>
        <v>0</v>
      </c>
      <c r="R434" s="306">
        <f t="shared" ca="1" si="194"/>
        <v>0</v>
      </c>
      <c r="S434" s="307">
        <f t="shared" ca="1" si="195"/>
        <v>0.4270000000000001</v>
      </c>
      <c r="T434" s="304">
        <f t="shared" ca="1" si="175"/>
        <v>4.1888700000000014</v>
      </c>
      <c r="U434" s="311">
        <f t="shared" ca="1" si="176"/>
        <v>0</v>
      </c>
      <c r="V434" s="306">
        <f t="shared" ca="1" si="177"/>
        <v>1.2254028882768457</v>
      </c>
      <c r="W434" s="304">
        <f t="shared" ca="1" si="178"/>
        <v>3.545157721374216</v>
      </c>
      <c r="Y434" s="314" t="str">
        <f t="shared" ca="1" si="196"/>
        <v/>
      </c>
      <c r="Z434" s="315" t="str">
        <f t="shared" ca="1" si="197"/>
        <v/>
      </c>
      <c r="AA434" s="316" t="str">
        <f t="shared" ca="1" si="198"/>
        <v/>
      </c>
      <c r="AC434" s="310" t="e">
        <f t="shared" ca="1" si="199"/>
        <v>#N/A</v>
      </c>
      <c r="AD434" s="323" t="e">
        <f t="shared" ca="1" si="200"/>
        <v>#N/A</v>
      </c>
      <c r="AE434" s="324" t="e">
        <f t="shared" ca="1" si="179"/>
        <v>#N/A</v>
      </c>
      <c r="AG434" s="306">
        <f t="shared" ca="1" si="201"/>
        <v>1.4823335760086653</v>
      </c>
      <c r="AH434" s="304">
        <f t="shared" ca="1" si="202"/>
        <v>-8.3024257027463726</v>
      </c>
    </row>
    <row r="435" spans="1:34" x14ac:dyDescent="0.3">
      <c r="A435" s="347">
        <f t="shared" ca="1" si="180"/>
        <v>1E-4</v>
      </c>
      <c r="B435" s="304">
        <f t="shared" ca="1" si="181"/>
        <v>16.108999999999941</v>
      </c>
      <c r="D435" s="306">
        <f t="shared" ca="1" si="182"/>
        <v>-0.59518420837155528</v>
      </c>
      <c r="E435" s="307">
        <f t="shared" ca="1" si="183"/>
        <v>-1.5288840280152716</v>
      </c>
      <c r="F435" s="304">
        <f t="shared" ca="1" si="184"/>
        <v>1.6406494485462386</v>
      </c>
      <c r="G435" s="306">
        <f t="shared" ca="1" si="185"/>
        <v>3.7489975260806481</v>
      </c>
      <c r="H435" s="307">
        <f t="shared" ca="1" si="186"/>
        <v>-52.162787135784903</v>
      </c>
      <c r="I435" s="304">
        <f t="shared" ca="1" si="187"/>
        <v>52.297335918990804</v>
      </c>
      <c r="J435" s="306">
        <f t="shared" ca="1" si="188"/>
        <v>150.09587023194715</v>
      </c>
      <c r="K435" s="307">
        <f t="shared" ca="1" si="189"/>
        <v>-3.2935594147481564</v>
      </c>
      <c r="L435" s="304">
        <f t="shared" ca="1" si="174"/>
        <v>150.13200123326135</v>
      </c>
      <c r="M435" s="306">
        <f t="shared" ca="1" si="190"/>
        <v>-1.4990485815287677</v>
      </c>
      <c r="N435" s="304">
        <f t="shared" ca="1" si="191"/>
        <v>-85.889157006671084</v>
      </c>
      <c r="P435" s="310">
        <f t="shared" ca="1" si="192"/>
        <v>23</v>
      </c>
      <c r="Q435" s="304">
        <f t="shared" ca="1" si="193"/>
        <v>0</v>
      </c>
      <c r="R435" s="306">
        <f t="shared" ca="1" si="194"/>
        <v>0</v>
      </c>
      <c r="S435" s="307">
        <f t="shared" ca="1" si="195"/>
        <v>0.4270000000000001</v>
      </c>
      <c r="T435" s="304">
        <f t="shared" ca="1" si="175"/>
        <v>4.1888700000000014</v>
      </c>
      <c r="U435" s="311">
        <f t="shared" ca="1" si="176"/>
        <v>0</v>
      </c>
      <c r="V435" s="306">
        <f t="shared" ca="1" si="177"/>
        <v>1.2254035274803936</v>
      </c>
      <c r="W435" s="304">
        <f t="shared" ca="1" si="178"/>
        <v>3.5451796670760469</v>
      </c>
      <c r="Y435" s="314" t="str">
        <f t="shared" ca="1" si="196"/>
        <v/>
      </c>
      <c r="Z435" s="315" t="str">
        <f t="shared" ca="1" si="197"/>
        <v/>
      </c>
      <c r="AA435" s="316" t="str">
        <f t="shared" ca="1" si="198"/>
        <v/>
      </c>
      <c r="AC435" s="310" t="e">
        <f t="shared" ca="1" si="199"/>
        <v>#N/A</v>
      </c>
      <c r="AD435" s="323" t="e">
        <f t="shared" ca="1" si="200"/>
        <v>#N/A</v>
      </c>
      <c r="AE435" s="324" t="e">
        <f t="shared" ca="1" si="179"/>
        <v>#N/A</v>
      </c>
      <c r="AG435" s="306">
        <f t="shared" ca="1" si="201"/>
        <v>1.4822831252308628</v>
      </c>
      <c r="AH435" s="304">
        <f t="shared" ca="1" si="202"/>
        <v>-8.3024770992370378</v>
      </c>
    </row>
    <row r="436" spans="1:34" x14ac:dyDescent="0.3">
      <c r="A436" s="347">
        <f t="shared" ca="1" si="180"/>
        <v>1E-4</v>
      </c>
      <c r="B436" s="304">
        <f t="shared" ca="1" si="181"/>
        <v>16.109099999999941</v>
      </c>
      <c r="D436" s="306">
        <f t="shared" ca="1" si="182"/>
        <v>-0.59517675687432481</v>
      </c>
      <c r="E436" s="307">
        <f t="shared" ca="1" si="183"/>
        <v>-1.5288319648055229</v>
      </c>
      <c r="F436" s="304">
        <f t="shared" ca="1" si="184"/>
        <v>1.6405982288587766</v>
      </c>
      <c r="G436" s="306">
        <f t="shared" ca="1" si="185"/>
        <v>3.7489380084049606</v>
      </c>
      <c r="H436" s="307">
        <f t="shared" ca="1" si="186"/>
        <v>-52.162940018981381</v>
      </c>
      <c r="I436" s="304">
        <f t="shared" ca="1" si="187"/>
        <v>52.297484142305663</v>
      </c>
      <c r="J436" s="306">
        <f t="shared" ca="1" si="188"/>
        <v>150.09587023194715</v>
      </c>
      <c r="K436" s="307">
        <f t="shared" ca="1" si="189"/>
        <v>-3.2987757011058947</v>
      </c>
      <c r="L436" s="304">
        <f t="shared" ca="1" si="174"/>
        <v>150.13211575746118</v>
      </c>
      <c r="M436" s="306">
        <f t="shared" ca="1" si="190"/>
        <v>-1.4990499262237933</v>
      </c>
      <c r="N436" s="304">
        <f t="shared" ca="1" si="191"/>
        <v>-85.889234052020782</v>
      </c>
      <c r="P436" s="310">
        <f t="shared" ca="1" si="192"/>
        <v>23</v>
      </c>
      <c r="Q436" s="304">
        <f t="shared" ca="1" si="193"/>
        <v>0</v>
      </c>
      <c r="R436" s="306">
        <f t="shared" ca="1" si="194"/>
        <v>0</v>
      </c>
      <c r="S436" s="307">
        <f t="shared" ca="1" si="195"/>
        <v>0.4270000000000001</v>
      </c>
      <c r="T436" s="304">
        <f t="shared" ca="1" si="175"/>
        <v>4.1888700000000014</v>
      </c>
      <c r="U436" s="311">
        <f t="shared" ca="1" si="176"/>
        <v>0</v>
      </c>
      <c r="V436" s="306">
        <f t="shared" ca="1" si="177"/>
        <v>1.2254041666861479</v>
      </c>
      <c r="W436" s="304">
        <f t="shared" ca="1" si="178"/>
        <v>3.5452016121782011</v>
      </c>
      <c r="Y436" s="314" t="str">
        <f t="shared" ca="1" si="196"/>
        <v/>
      </c>
      <c r="Z436" s="315" t="str">
        <f t="shared" ca="1" si="197"/>
        <v/>
      </c>
      <c r="AA436" s="316" t="str">
        <f t="shared" ca="1" si="198"/>
        <v/>
      </c>
      <c r="AC436" s="310" t="e">
        <f t="shared" ca="1" si="199"/>
        <v>#N/A</v>
      </c>
      <c r="AD436" s="323" t="e">
        <f t="shared" ca="1" si="200"/>
        <v>#N/A</v>
      </c>
      <c r="AE436" s="324" t="e">
        <f t="shared" ca="1" si="179"/>
        <v>#N/A</v>
      </c>
      <c r="AG436" s="306">
        <f t="shared" ca="1" si="201"/>
        <v>1.482232675819402</v>
      </c>
      <c r="AH436" s="304">
        <f t="shared" ca="1" si="202"/>
        <v>-8.3025284943232922</v>
      </c>
    </row>
    <row r="437" spans="1:34" x14ac:dyDescent="0.3">
      <c r="A437" s="347">
        <f t="shared" ca="1" si="180"/>
        <v>1E-4</v>
      </c>
      <c r="B437" s="304">
        <f t="shared" ca="1" si="181"/>
        <v>16.109199999999941</v>
      </c>
      <c r="D437" s="306">
        <f t="shared" ca="1" si="182"/>
        <v>-0.59516930537738932</v>
      </c>
      <c r="E437" s="307">
        <f t="shared" ca="1" si="183"/>
        <v>-1.5287799030188634</v>
      </c>
      <c r="F437" s="304">
        <f t="shared" ca="1" si="184"/>
        <v>1.6405470105845092</v>
      </c>
      <c r="G437" s="306">
        <f t="shared" ca="1" si="185"/>
        <v>3.7488784914744229</v>
      </c>
      <c r="H437" s="307">
        <f t="shared" ca="1" si="186"/>
        <v>-52.163092896971683</v>
      </c>
      <c r="I437" s="304">
        <f t="shared" ca="1" si="187"/>
        <v>52.297632360575726</v>
      </c>
      <c r="J437" s="306">
        <f t="shared" ca="1" si="188"/>
        <v>150.09587023194715</v>
      </c>
      <c r="K437" s="307">
        <f t="shared" ca="1" si="189"/>
        <v>-3.3039920027516922</v>
      </c>
      <c r="L437" s="304">
        <f t="shared" ca="1" si="174"/>
        <v>150.13223046314792</v>
      </c>
      <c r="M437" s="306">
        <f t="shared" ca="1" si="190"/>
        <v>-1.4990512708898489</v>
      </c>
      <c r="N437" s="304">
        <f t="shared" ca="1" si="191"/>
        <v>-85.889311095710624</v>
      </c>
      <c r="P437" s="310">
        <f t="shared" ca="1" si="192"/>
        <v>23</v>
      </c>
      <c r="Q437" s="304">
        <f t="shared" ca="1" si="193"/>
        <v>0</v>
      </c>
      <c r="R437" s="306">
        <f t="shared" ca="1" si="194"/>
        <v>0</v>
      </c>
      <c r="S437" s="307">
        <f t="shared" ca="1" si="195"/>
        <v>0.4270000000000001</v>
      </c>
      <c r="T437" s="304">
        <f t="shared" ca="1" si="175"/>
        <v>4.1888700000000014</v>
      </c>
      <c r="U437" s="311">
        <f t="shared" ca="1" si="176"/>
        <v>0</v>
      </c>
      <c r="V437" s="306">
        <f t="shared" ca="1" si="177"/>
        <v>1.2254048058941089</v>
      </c>
      <c r="W437" s="304">
        <f t="shared" ca="1" si="178"/>
        <v>3.5452235566806944</v>
      </c>
      <c r="Y437" s="314" t="str">
        <f t="shared" ca="1" si="196"/>
        <v/>
      </c>
      <c r="Z437" s="315" t="str">
        <f t="shared" ca="1" si="197"/>
        <v/>
      </c>
      <c r="AA437" s="316" t="str">
        <f t="shared" ca="1" si="198"/>
        <v/>
      </c>
      <c r="AC437" s="310" t="e">
        <f t="shared" ca="1" si="199"/>
        <v>#N/A</v>
      </c>
      <c r="AD437" s="323" t="e">
        <f t="shared" ca="1" si="200"/>
        <v>#N/A</v>
      </c>
      <c r="AE437" s="324" t="e">
        <f t="shared" ca="1" si="179"/>
        <v>#N/A</v>
      </c>
      <c r="AG437" s="306">
        <f t="shared" ca="1" si="201"/>
        <v>1.4821822277742669</v>
      </c>
      <c r="AH437" s="304">
        <f t="shared" ca="1" si="202"/>
        <v>-8.3025798880051536</v>
      </c>
    </row>
    <row r="438" spans="1:34" x14ac:dyDescent="0.3">
      <c r="A438" s="347">
        <f t="shared" ca="1" si="180"/>
        <v>1E-4</v>
      </c>
      <c r="B438" s="304">
        <f t="shared" ca="1" si="181"/>
        <v>16.109299999999941</v>
      </c>
      <c r="D438" s="306">
        <f t="shared" ca="1" si="182"/>
        <v>-0.59516185388075404</v>
      </c>
      <c r="E438" s="307">
        <f t="shared" ca="1" si="183"/>
        <v>-1.5287278426552593</v>
      </c>
      <c r="F438" s="304">
        <f t="shared" ca="1" si="184"/>
        <v>1.6404957937234033</v>
      </c>
      <c r="G438" s="306">
        <f t="shared" ca="1" si="185"/>
        <v>3.7488189752890348</v>
      </c>
      <c r="H438" s="307">
        <f t="shared" ca="1" si="186"/>
        <v>-52.163245769755946</v>
      </c>
      <c r="I438" s="304">
        <f t="shared" ca="1" si="187"/>
        <v>52.297780573801113</v>
      </c>
      <c r="J438" s="306">
        <f t="shared" ca="1" si="188"/>
        <v>150.09587023194715</v>
      </c>
      <c r="K438" s="307">
        <f t="shared" ca="1" si="189"/>
        <v>-3.3092083196850286</v>
      </c>
      <c r="L438" s="304">
        <f t="shared" ca="1" si="174"/>
        <v>150.13234535032279</v>
      </c>
      <c r="M438" s="306">
        <f t="shared" ca="1" si="190"/>
        <v>-1.4990526155269353</v>
      </c>
      <c r="N438" s="304">
        <f t="shared" ca="1" si="191"/>
        <v>-85.889388137740653</v>
      </c>
      <c r="P438" s="310">
        <f t="shared" ca="1" si="192"/>
        <v>23</v>
      </c>
      <c r="Q438" s="304">
        <f t="shared" ca="1" si="193"/>
        <v>0</v>
      </c>
      <c r="R438" s="306">
        <f t="shared" ca="1" si="194"/>
        <v>0</v>
      </c>
      <c r="S438" s="307">
        <f t="shared" ca="1" si="195"/>
        <v>0.4270000000000001</v>
      </c>
      <c r="T438" s="304">
        <f t="shared" ca="1" si="175"/>
        <v>4.1888700000000014</v>
      </c>
      <c r="U438" s="311">
        <f t="shared" ca="1" si="176"/>
        <v>0</v>
      </c>
      <c r="V438" s="306">
        <f t="shared" ca="1" si="177"/>
        <v>1.2254054451042773</v>
      </c>
      <c r="W438" s="304">
        <f t="shared" ca="1" si="178"/>
        <v>3.5452455005835368</v>
      </c>
      <c r="Y438" s="314" t="str">
        <f t="shared" ca="1" si="196"/>
        <v/>
      </c>
      <c r="Z438" s="315" t="str">
        <f t="shared" ca="1" si="197"/>
        <v/>
      </c>
      <c r="AA438" s="316" t="str">
        <f t="shared" ca="1" si="198"/>
        <v/>
      </c>
      <c r="AC438" s="310" t="e">
        <f t="shared" ca="1" si="199"/>
        <v>#N/A</v>
      </c>
      <c r="AD438" s="323" t="e">
        <f t="shared" ca="1" si="200"/>
        <v>#N/A</v>
      </c>
      <c r="AE438" s="324" t="e">
        <f t="shared" ca="1" si="179"/>
        <v>#N/A</v>
      </c>
      <c r="AG438" s="306">
        <f t="shared" ca="1" si="201"/>
        <v>1.4821317810954238</v>
      </c>
      <c r="AH438" s="304">
        <f t="shared" ca="1" si="202"/>
        <v>-8.3026312802826556</v>
      </c>
    </row>
    <row r="439" spans="1:34" x14ac:dyDescent="0.3">
      <c r="A439" s="347">
        <f t="shared" ca="1" si="180"/>
        <v>1E-4</v>
      </c>
      <c r="B439" s="304">
        <f t="shared" ca="1" si="181"/>
        <v>16.10939999999994</v>
      </c>
      <c r="D439" s="306">
        <f t="shared" ca="1" si="182"/>
        <v>-0.59515440238442563</v>
      </c>
      <c r="E439" s="307">
        <f t="shared" ca="1" si="183"/>
        <v>-1.528675783714684</v>
      </c>
      <c r="F439" s="304">
        <f t="shared" ca="1" si="184"/>
        <v>1.640444578275434</v>
      </c>
      <c r="G439" s="306">
        <f t="shared" ca="1" si="185"/>
        <v>3.7487594598487965</v>
      </c>
      <c r="H439" s="307">
        <f t="shared" ca="1" si="186"/>
        <v>-52.163398637334318</v>
      </c>
      <c r="I439" s="304">
        <f t="shared" ca="1" si="187"/>
        <v>52.297928781981966</v>
      </c>
      <c r="J439" s="306">
        <f t="shared" ca="1" si="188"/>
        <v>150.09587023194715</v>
      </c>
      <c r="K439" s="307">
        <f t="shared" ca="1" si="189"/>
        <v>-3.3144246519053833</v>
      </c>
      <c r="L439" s="304">
        <f t="shared" ca="1" si="174"/>
        <v>150.13246041898694</v>
      </c>
      <c r="M439" s="306">
        <f t="shared" ca="1" si="190"/>
        <v>-1.4990539601350534</v>
      </c>
      <c r="N439" s="304">
        <f t="shared" ca="1" si="191"/>
        <v>-85.889465178110925</v>
      </c>
      <c r="P439" s="310">
        <f t="shared" ca="1" si="192"/>
        <v>23</v>
      </c>
      <c r="Q439" s="304">
        <f t="shared" ca="1" si="193"/>
        <v>0</v>
      </c>
      <c r="R439" s="306">
        <f t="shared" ca="1" si="194"/>
        <v>0</v>
      </c>
      <c r="S439" s="307">
        <f t="shared" ca="1" si="195"/>
        <v>0.4270000000000001</v>
      </c>
      <c r="T439" s="304">
        <f t="shared" ca="1" si="175"/>
        <v>4.1888700000000014</v>
      </c>
      <c r="U439" s="311">
        <f t="shared" ca="1" si="176"/>
        <v>0</v>
      </c>
      <c r="V439" s="306">
        <f t="shared" ca="1" si="177"/>
        <v>1.2254060843166519</v>
      </c>
      <c r="W439" s="304">
        <f t="shared" ca="1" si="178"/>
        <v>3.5452674438867398</v>
      </c>
      <c r="Y439" s="314" t="str">
        <f t="shared" ca="1" si="196"/>
        <v/>
      </c>
      <c r="Z439" s="315" t="str">
        <f t="shared" ca="1" si="197"/>
        <v/>
      </c>
      <c r="AA439" s="316" t="str">
        <f t="shared" ca="1" si="198"/>
        <v/>
      </c>
      <c r="AC439" s="310" t="e">
        <f t="shared" ca="1" si="199"/>
        <v>#N/A</v>
      </c>
      <c r="AD439" s="323" t="e">
        <f t="shared" ca="1" si="200"/>
        <v>#N/A</v>
      </c>
      <c r="AE439" s="324" t="e">
        <f t="shared" ca="1" si="179"/>
        <v>#N/A</v>
      </c>
      <c r="AG439" s="306">
        <f t="shared" ca="1" si="201"/>
        <v>1.4820813357828566</v>
      </c>
      <c r="AH439" s="304">
        <f t="shared" ca="1" si="202"/>
        <v>-8.3026826711558215</v>
      </c>
    </row>
    <row r="440" spans="1:34" x14ac:dyDescent="0.3">
      <c r="A440" s="347">
        <f t="shared" ca="1" si="180"/>
        <v>1E-4</v>
      </c>
      <c r="B440" s="304">
        <f t="shared" ca="1" si="181"/>
        <v>16.10949999999994</v>
      </c>
      <c r="D440" s="306">
        <f t="shared" ca="1" si="182"/>
        <v>-0.59514695088840663</v>
      </c>
      <c r="E440" s="307">
        <f t="shared" ca="1" si="183"/>
        <v>-1.528623726197111</v>
      </c>
      <c r="F440" s="304">
        <f t="shared" ca="1" si="184"/>
        <v>1.6403933642405737</v>
      </c>
      <c r="G440" s="306">
        <f t="shared" ca="1" si="185"/>
        <v>3.7486999451537075</v>
      </c>
      <c r="H440" s="307">
        <f t="shared" ca="1" si="186"/>
        <v>-52.163551499706941</v>
      </c>
      <c r="I440" s="304">
        <f t="shared" ca="1" si="187"/>
        <v>52.298076985118428</v>
      </c>
      <c r="J440" s="306">
        <f t="shared" ca="1" si="188"/>
        <v>150.09587023194715</v>
      </c>
      <c r="K440" s="307">
        <f t="shared" ca="1" si="189"/>
        <v>-3.3196409994122353</v>
      </c>
      <c r="L440" s="304">
        <f t="shared" ca="1" si="174"/>
        <v>150.13257566914149</v>
      </c>
      <c r="M440" s="306">
        <f t="shared" ca="1" si="190"/>
        <v>-1.4990553047142041</v>
      </c>
      <c r="N440" s="304">
        <f t="shared" ca="1" si="191"/>
        <v>-85.889542216821482</v>
      </c>
      <c r="P440" s="310">
        <f t="shared" ca="1" si="192"/>
        <v>23</v>
      </c>
      <c r="Q440" s="304">
        <f t="shared" ca="1" si="193"/>
        <v>0</v>
      </c>
      <c r="R440" s="306">
        <f t="shared" ca="1" si="194"/>
        <v>0</v>
      </c>
      <c r="S440" s="307">
        <f t="shared" ca="1" si="195"/>
        <v>0.4270000000000001</v>
      </c>
      <c r="T440" s="304">
        <f t="shared" ca="1" si="175"/>
        <v>4.1888700000000014</v>
      </c>
      <c r="U440" s="311">
        <f t="shared" ca="1" si="176"/>
        <v>0</v>
      </c>
      <c r="V440" s="306">
        <f t="shared" ca="1" si="177"/>
        <v>1.2254067235312336</v>
      </c>
      <c r="W440" s="304">
        <f t="shared" ca="1" si="178"/>
        <v>3.5452893865903166</v>
      </c>
      <c r="Y440" s="314" t="str">
        <f t="shared" ca="1" si="196"/>
        <v/>
      </c>
      <c r="Z440" s="315" t="str">
        <f t="shared" ca="1" si="197"/>
        <v/>
      </c>
      <c r="AA440" s="316" t="str">
        <f t="shared" ca="1" si="198"/>
        <v/>
      </c>
      <c r="AC440" s="310" t="e">
        <f t="shared" ca="1" si="199"/>
        <v>#N/A</v>
      </c>
      <c r="AD440" s="323" t="e">
        <f t="shared" ca="1" si="200"/>
        <v>#N/A</v>
      </c>
      <c r="AE440" s="324" t="e">
        <f t="shared" ca="1" si="179"/>
        <v>#N/A</v>
      </c>
      <c r="AG440" s="306">
        <f t="shared" ca="1" si="201"/>
        <v>1.4820308918365335</v>
      </c>
      <c r="AH440" s="304">
        <f t="shared" ca="1" si="202"/>
        <v>-8.3027340606246813</v>
      </c>
    </row>
    <row r="441" spans="1:34" x14ac:dyDescent="0.3">
      <c r="A441" s="347">
        <f t="shared" ca="1" si="180"/>
        <v>1E-4</v>
      </c>
      <c r="B441" s="304">
        <f t="shared" ca="1" si="181"/>
        <v>16.10959999999994</v>
      </c>
      <c r="D441" s="306">
        <f t="shared" ca="1" si="182"/>
        <v>-0.59513949939270416</v>
      </c>
      <c r="E441" s="307">
        <f t="shared" ca="1" si="183"/>
        <v>-1.5285716701025081</v>
      </c>
      <c r="F441" s="304">
        <f t="shared" ca="1" si="184"/>
        <v>1.6403421516187924</v>
      </c>
      <c r="G441" s="306">
        <f t="shared" ca="1" si="185"/>
        <v>3.7486404312037682</v>
      </c>
      <c r="H441" s="307">
        <f t="shared" ca="1" si="186"/>
        <v>-52.16370435687395</v>
      </c>
      <c r="I441" s="304">
        <f t="shared" ca="1" si="187"/>
        <v>52.298225183210626</v>
      </c>
      <c r="J441" s="306">
        <f t="shared" ca="1" si="188"/>
        <v>150.09587023194715</v>
      </c>
      <c r="K441" s="307">
        <f t="shared" ca="1" si="189"/>
        <v>-3.3248573622050643</v>
      </c>
      <c r="L441" s="304">
        <f t="shared" ca="1" si="174"/>
        <v>150.13269110078767</v>
      </c>
      <c r="M441" s="306">
        <f t="shared" ca="1" si="190"/>
        <v>-1.4990566492643882</v>
      </c>
      <c r="N441" s="304">
        <f t="shared" ca="1" si="191"/>
        <v>-85.889619253872368</v>
      </c>
      <c r="P441" s="310">
        <f t="shared" ca="1" si="192"/>
        <v>23</v>
      </c>
      <c r="Q441" s="304">
        <f t="shared" ca="1" si="193"/>
        <v>0</v>
      </c>
      <c r="R441" s="306">
        <f t="shared" ca="1" si="194"/>
        <v>0</v>
      </c>
      <c r="S441" s="307">
        <f t="shared" ca="1" si="195"/>
        <v>0.4270000000000001</v>
      </c>
      <c r="T441" s="304">
        <f t="shared" ca="1" si="175"/>
        <v>4.1888700000000014</v>
      </c>
      <c r="U441" s="311">
        <f t="shared" ca="1" si="176"/>
        <v>0</v>
      </c>
      <c r="V441" s="306">
        <f t="shared" ca="1" si="177"/>
        <v>1.2254073627480218</v>
      </c>
      <c r="W441" s="304">
        <f t="shared" ca="1" si="178"/>
        <v>3.5453113286942775</v>
      </c>
      <c r="Y441" s="314" t="str">
        <f t="shared" ca="1" si="196"/>
        <v/>
      </c>
      <c r="Z441" s="315" t="str">
        <f t="shared" ca="1" si="197"/>
        <v/>
      </c>
      <c r="AA441" s="316" t="str">
        <f t="shared" ca="1" si="198"/>
        <v/>
      </c>
      <c r="AC441" s="310" t="e">
        <f t="shared" ca="1" si="199"/>
        <v>#N/A</v>
      </c>
      <c r="AD441" s="323" t="e">
        <f t="shared" ca="1" si="200"/>
        <v>#N/A</v>
      </c>
      <c r="AE441" s="324" t="e">
        <f t="shared" ca="1" si="179"/>
        <v>#N/A</v>
      </c>
      <c r="AG441" s="306">
        <f t="shared" ca="1" si="201"/>
        <v>1.4819804492564259</v>
      </c>
      <c r="AH441" s="304">
        <f t="shared" ca="1" si="202"/>
        <v>-8.3027854486892636</v>
      </c>
    </row>
    <row r="442" spans="1:34" x14ac:dyDescent="0.3">
      <c r="A442" s="347">
        <f t="shared" ca="1" si="180"/>
        <v>1E-4</v>
      </c>
      <c r="B442" s="304">
        <f t="shared" ca="1" si="181"/>
        <v>16.10969999999994</v>
      </c>
      <c r="D442" s="306">
        <f t="shared" ca="1" si="182"/>
        <v>-0.59513204789732277</v>
      </c>
      <c r="E442" s="307">
        <f t="shared" ca="1" si="183"/>
        <v>-1.5285196154308522</v>
      </c>
      <c r="F442" s="304">
        <f t="shared" ca="1" si="184"/>
        <v>1.640290940410067</v>
      </c>
      <c r="G442" s="306">
        <f t="shared" ca="1" si="185"/>
        <v>3.7485809179989786</v>
      </c>
      <c r="H442" s="307">
        <f t="shared" ca="1" si="186"/>
        <v>-52.163857208835495</v>
      </c>
      <c r="I442" s="304">
        <f t="shared" ca="1" si="187"/>
        <v>52.298373376258702</v>
      </c>
      <c r="J442" s="306">
        <f t="shared" ca="1" si="188"/>
        <v>150.09587023194715</v>
      </c>
      <c r="K442" s="307">
        <f t="shared" ca="1" si="189"/>
        <v>-3.3300737402833498</v>
      </c>
      <c r="L442" s="304">
        <f t="shared" ca="1" si="174"/>
        <v>150.13280671392658</v>
      </c>
      <c r="M442" s="306">
        <f t="shared" ca="1" si="190"/>
        <v>-1.4990579937856066</v>
      </c>
      <c r="N442" s="304">
        <f t="shared" ca="1" si="191"/>
        <v>-85.88969628926364</v>
      </c>
      <c r="P442" s="310">
        <f t="shared" ca="1" si="192"/>
        <v>23</v>
      </c>
      <c r="Q442" s="304">
        <f t="shared" ca="1" si="193"/>
        <v>0</v>
      </c>
      <c r="R442" s="306">
        <f t="shared" ca="1" si="194"/>
        <v>0</v>
      </c>
      <c r="S442" s="307">
        <f t="shared" ca="1" si="195"/>
        <v>0.4270000000000001</v>
      </c>
      <c r="T442" s="304">
        <f t="shared" ca="1" si="175"/>
        <v>4.1888700000000014</v>
      </c>
      <c r="U442" s="311">
        <f t="shared" ca="1" si="176"/>
        <v>0</v>
      </c>
      <c r="V442" s="306">
        <f t="shared" ca="1" si="177"/>
        <v>1.2254080019670166</v>
      </c>
      <c r="W442" s="304">
        <f t="shared" ca="1" si="178"/>
        <v>3.5453332701986344</v>
      </c>
      <c r="Y442" s="314" t="str">
        <f t="shared" ca="1" si="196"/>
        <v/>
      </c>
      <c r="Z442" s="315" t="str">
        <f t="shared" ca="1" si="197"/>
        <v/>
      </c>
      <c r="AA442" s="316" t="str">
        <f t="shared" ca="1" si="198"/>
        <v/>
      </c>
      <c r="AC442" s="310" t="e">
        <f t="shared" ca="1" si="199"/>
        <v>#N/A</v>
      </c>
      <c r="AD442" s="323" t="e">
        <f t="shared" ca="1" si="200"/>
        <v>#N/A</v>
      </c>
      <c r="AE442" s="324" t="e">
        <f t="shared" ca="1" si="179"/>
        <v>#N/A</v>
      </c>
      <c r="AG442" s="306">
        <f t="shared" ca="1" si="201"/>
        <v>1.4819300080425162</v>
      </c>
      <c r="AH442" s="304">
        <f t="shared" ca="1" si="202"/>
        <v>-8.3028368353495932</v>
      </c>
    </row>
    <row r="443" spans="1:34" x14ac:dyDescent="0.3">
      <c r="A443" s="347">
        <f t="shared" ca="1" si="180"/>
        <v>1E-4</v>
      </c>
      <c r="B443" s="304">
        <f t="shared" ca="1" si="181"/>
        <v>16.10979999999994</v>
      </c>
      <c r="D443" s="306">
        <f t="shared" ca="1" si="182"/>
        <v>-0.59512459640226711</v>
      </c>
      <c r="E443" s="307">
        <f t="shared" ca="1" si="183"/>
        <v>-1.5284675621821115</v>
      </c>
      <c r="F443" s="304">
        <f t="shared" ca="1" si="184"/>
        <v>1.6402397306143661</v>
      </c>
      <c r="G443" s="306">
        <f t="shared" ca="1" si="185"/>
        <v>3.7485214055393383</v>
      </c>
      <c r="H443" s="307">
        <f t="shared" ca="1" si="186"/>
        <v>-52.16401005559171</v>
      </c>
      <c r="I443" s="304">
        <f t="shared" ca="1" si="187"/>
        <v>52.298521564262785</v>
      </c>
      <c r="J443" s="306">
        <f t="shared" ca="1" si="188"/>
        <v>150.09587023194715</v>
      </c>
      <c r="K443" s="307">
        <f t="shared" ca="1" si="189"/>
        <v>-3.3352901336465712</v>
      </c>
      <c r="L443" s="304">
        <f t="shared" ca="1" si="174"/>
        <v>150.13292250855946</v>
      </c>
      <c r="M443" s="306">
        <f t="shared" ca="1" si="190"/>
        <v>-1.4990593382778599</v>
      </c>
      <c r="N443" s="304">
        <f t="shared" ca="1" si="191"/>
        <v>-85.889773322995353</v>
      </c>
      <c r="P443" s="310">
        <f t="shared" ca="1" si="192"/>
        <v>23</v>
      </c>
      <c r="Q443" s="304">
        <f t="shared" ca="1" si="193"/>
        <v>0</v>
      </c>
      <c r="R443" s="306">
        <f t="shared" ca="1" si="194"/>
        <v>0</v>
      </c>
      <c r="S443" s="307">
        <f t="shared" ca="1" si="195"/>
        <v>0.4270000000000001</v>
      </c>
      <c r="T443" s="304">
        <f t="shared" ca="1" si="175"/>
        <v>4.1888700000000014</v>
      </c>
      <c r="U443" s="311">
        <f t="shared" ca="1" si="176"/>
        <v>0</v>
      </c>
      <c r="V443" s="306">
        <f t="shared" ca="1" si="177"/>
        <v>1.2254086411882181</v>
      </c>
      <c r="W443" s="304">
        <f t="shared" ca="1" si="178"/>
        <v>3.545355211103399</v>
      </c>
      <c r="Y443" s="314" t="str">
        <f t="shared" ca="1" si="196"/>
        <v/>
      </c>
      <c r="Z443" s="315" t="str">
        <f t="shared" ca="1" si="197"/>
        <v/>
      </c>
      <c r="AA443" s="316" t="str">
        <f t="shared" ca="1" si="198"/>
        <v/>
      </c>
      <c r="AC443" s="310" t="e">
        <f t="shared" ca="1" si="199"/>
        <v>#N/A</v>
      </c>
      <c r="AD443" s="323" t="e">
        <f t="shared" ca="1" si="200"/>
        <v>#N/A</v>
      </c>
      <c r="AE443" s="324" t="e">
        <f t="shared" ca="1" si="179"/>
        <v>#N/A</v>
      </c>
      <c r="AG443" s="306">
        <f t="shared" ca="1" si="201"/>
        <v>1.4818795681947723</v>
      </c>
      <c r="AH443" s="304">
        <f t="shared" ca="1" si="202"/>
        <v>-8.3028882206056984</v>
      </c>
    </row>
    <row r="444" spans="1:34" x14ac:dyDescent="0.3">
      <c r="A444" s="347">
        <f t="shared" ca="1" si="180"/>
        <v>1E-4</v>
      </c>
      <c r="B444" s="304">
        <f t="shared" ca="1" si="181"/>
        <v>16.109899999999939</v>
      </c>
      <c r="D444" s="306">
        <f t="shared" ca="1" si="182"/>
        <v>-0.59511714490754408</v>
      </c>
      <c r="E444" s="307">
        <f t="shared" ca="1" si="183"/>
        <v>-1.5284155103562611</v>
      </c>
      <c r="F444" s="304">
        <f t="shared" ca="1" si="184"/>
        <v>1.6401885222316661</v>
      </c>
      <c r="G444" s="306">
        <f t="shared" ca="1" si="185"/>
        <v>3.7484618938248477</v>
      </c>
      <c r="H444" s="307">
        <f t="shared" ca="1" si="186"/>
        <v>-52.164162897142745</v>
      </c>
      <c r="I444" s="304">
        <f t="shared" ca="1" si="187"/>
        <v>52.298669747223023</v>
      </c>
      <c r="J444" s="306">
        <f t="shared" ca="1" si="188"/>
        <v>150.09587023194715</v>
      </c>
      <c r="K444" s="307">
        <f t="shared" ca="1" si="189"/>
        <v>-3.3405065422942077</v>
      </c>
      <c r="L444" s="304">
        <f t="shared" ca="1" si="174"/>
        <v>150.1330384846874</v>
      </c>
      <c r="M444" s="306">
        <f t="shared" ca="1" si="190"/>
        <v>-1.4990606827411492</v>
      </c>
      <c r="N444" s="304">
        <f t="shared" ca="1" si="191"/>
        <v>-85.889850355067537</v>
      </c>
      <c r="P444" s="310">
        <f t="shared" ca="1" si="192"/>
        <v>23</v>
      </c>
      <c r="Q444" s="304">
        <f t="shared" ca="1" si="193"/>
        <v>0</v>
      </c>
      <c r="R444" s="306">
        <f t="shared" ca="1" si="194"/>
        <v>0</v>
      </c>
      <c r="S444" s="307">
        <f t="shared" ca="1" si="195"/>
        <v>0.4270000000000001</v>
      </c>
      <c r="T444" s="304">
        <f t="shared" ca="1" si="175"/>
        <v>4.1888700000000014</v>
      </c>
      <c r="U444" s="311">
        <f t="shared" ca="1" si="176"/>
        <v>0</v>
      </c>
      <c r="V444" s="306">
        <f t="shared" ca="1" si="177"/>
        <v>1.2254092804116259</v>
      </c>
      <c r="W444" s="304">
        <f t="shared" ca="1" si="178"/>
        <v>3.5453771514085828</v>
      </c>
      <c r="Y444" s="314" t="str">
        <f t="shared" ca="1" si="196"/>
        <v/>
      </c>
      <c r="Z444" s="315" t="str">
        <f t="shared" ca="1" si="197"/>
        <v/>
      </c>
      <c r="AA444" s="316" t="str">
        <f t="shared" ca="1" si="198"/>
        <v/>
      </c>
      <c r="AC444" s="310" t="e">
        <f t="shared" ca="1" si="199"/>
        <v>#N/A</v>
      </c>
      <c r="AD444" s="323" t="e">
        <f t="shared" ca="1" si="200"/>
        <v>#N/A</v>
      </c>
      <c r="AE444" s="324" t="e">
        <f t="shared" ca="1" si="179"/>
        <v>#N/A</v>
      </c>
      <c r="AG444" s="306">
        <f t="shared" ca="1" si="201"/>
        <v>1.4818291297131694</v>
      </c>
      <c r="AH444" s="304">
        <f t="shared" ca="1" si="202"/>
        <v>-8.3029396044576078</v>
      </c>
    </row>
    <row r="445" spans="1:34" x14ac:dyDescent="0.3">
      <c r="A445" s="347">
        <f t="shared" ca="1" si="180"/>
        <v>1E-4</v>
      </c>
      <c r="B445" s="304">
        <f t="shared" ca="1" si="181"/>
        <v>16.109999999999939</v>
      </c>
      <c r="D445" s="306">
        <f t="shared" ca="1" si="182"/>
        <v>-0.59510969341315623</v>
      </c>
      <c r="E445" s="307">
        <f t="shared" ca="1" si="183"/>
        <v>-1.528363459953276</v>
      </c>
      <c r="F445" s="304">
        <f t="shared" ca="1" si="184"/>
        <v>1.6401373152619418</v>
      </c>
      <c r="G445" s="306">
        <f t="shared" ca="1" si="185"/>
        <v>3.7484023828555064</v>
      </c>
      <c r="H445" s="307">
        <f t="shared" ca="1" si="186"/>
        <v>-52.164315733488742</v>
      </c>
      <c r="I445" s="304">
        <f t="shared" ca="1" si="187"/>
        <v>52.298817925139552</v>
      </c>
      <c r="J445" s="306">
        <f t="shared" ca="1" si="188"/>
        <v>150.09587023194715</v>
      </c>
      <c r="K445" s="307">
        <f t="shared" ca="1" si="189"/>
        <v>-3.3457229662257393</v>
      </c>
      <c r="L445" s="304">
        <f t="shared" ca="1" si="174"/>
        <v>150.13315464231158</v>
      </c>
      <c r="M445" s="306">
        <f t="shared" ca="1" si="190"/>
        <v>-1.4990620271754751</v>
      </c>
      <c r="N445" s="304">
        <f t="shared" ca="1" si="191"/>
        <v>-85.889927385480249</v>
      </c>
      <c r="P445" s="310">
        <f t="shared" ca="1" si="192"/>
        <v>23</v>
      </c>
      <c r="Q445" s="304">
        <f t="shared" ca="1" si="193"/>
        <v>0</v>
      </c>
      <c r="R445" s="306">
        <f t="shared" ca="1" si="194"/>
        <v>0</v>
      </c>
      <c r="S445" s="307">
        <f t="shared" ca="1" si="195"/>
        <v>0.4270000000000001</v>
      </c>
      <c r="T445" s="304">
        <f t="shared" ca="1" si="175"/>
        <v>4.1888700000000014</v>
      </c>
      <c r="U445" s="311">
        <f t="shared" ca="1" si="176"/>
        <v>0</v>
      </c>
      <c r="V445" s="306">
        <f t="shared" ca="1" si="177"/>
        <v>1.2254099196372401</v>
      </c>
      <c r="W445" s="304">
        <f t="shared" ca="1" si="178"/>
        <v>3.5453990911141977</v>
      </c>
      <c r="Y445" s="314" t="str">
        <f t="shared" ca="1" si="196"/>
        <v/>
      </c>
      <c r="Z445" s="315" t="str">
        <f t="shared" ca="1" si="197"/>
        <v/>
      </c>
      <c r="AA445" s="316" t="str">
        <f t="shared" ca="1" si="198"/>
        <v/>
      </c>
      <c r="AC445" s="310" t="e">
        <f t="shared" ca="1" si="199"/>
        <v>#N/A</v>
      </c>
      <c r="AD445" s="323" t="e">
        <f t="shared" ca="1" si="200"/>
        <v>#N/A</v>
      </c>
      <c r="AE445" s="324" t="e">
        <f t="shared" ca="1" si="179"/>
        <v>#N/A</v>
      </c>
      <c r="AG445" s="306">
        <f t="shared" ca="1" si="201"/>
        <v>1.4817786925976897</v>
      </c>
      <c r="AH445" s="304">
        <f t="shared" ca="1" si="202"/>
        <v>-8.3029909869053444</v>
      </c>
    </row>
    <row r="446" spans="1:34" x14ac:dyDescent="0.3">
      <c r="A446" s="347">
        <f t="shared" ca="1" si="180"/>
        <v>1E-4</v>
      </c>
      <c r="B446" s="304">
        <f t="shared" ca="1" si="181"/>
        <v>16.110099999999939</v>
      </c>
      <c r="D446" s="306">
        <f t="shared" ca="1" si="182"/>
        <v>-0.59510224191911232</v>
      </c>
      <c r="E446" s="307">
        <f t="shared" ca="1" si="183"/>
        <v>-1.5283114109731262</v>
      </c>
      <c r="F446" s="304">
        <f t="shared" ca="1" si="184"/>
        <v>1.6400861097051647</v>
      </c>
      <c r="G446" s="306">
        <f t="shared" ca="1" si="185"/>
        <v>3.7483428726313144</v>
      </c>
      <c r="H446" s="307">
        <f t="shared" ca="1" si="186"/>
        <v>-52.164468564629843</v>
      </c>
      <c r="I446" s="304">
        <f t="shared" ca="1" si="187"/>
        <v>52.2989660980125</v>
      </c>
      <c r="J446" s="306">
        <f t="shared" ca="1" si="188"/>
        <v>150.09587023194715</v>
      </c>
      <c r="K446" s="307">
        <f t="shared" ca="1" si="189"/>
        <v>-3.3509394054406454</v>
      </c>
      <c r="L446" s="304">
        <f t="shared" ca="1" si="174"/>
        <v>150.13327098143321</v>
      </c>
      <c r="M446" s="306">
        <f t="shared" ca="1" si="190"/>
        <v>-1.4990633715808386</v>
      </c>
      <c r="N446" s="304">
        <f t="shared" ca="1" si="191"/>
        <v>-85.89000441423353</v>
      </c>
      <c r="P446" s="310">
        <f t="shared" ca="1" si="192"/>
        <v>23</v>
      </c>
      <c r="Q446" s="304">
        <f t="shared" ca="1" si="193"/>
        <v>0</v>
      </c>
      <c r="R446" s="306">
        <f t="shared" ca="1" si="194"/>
        <v>0</v>
      </c>
      <c r="S446" s="307">
        <f t="shared" ca="1" si="195"/>
        <v>0.4270000000000001</v>
      </c>
      <c r="T446" s="304">
        <f t="shared" ca="1" si="175"/>
        <v>4.1888700000000014</v>
      </c>
      <c r="U446" s="311">
        <f t="shared" ca="1" si="176"/>
        <v>0</v>
      </c>
      <c r="V446" s="306">
        <f t="shared" ca="1" si="177"/>
        <v>1.2254105588650608</v>
      </c>
      <c r="W446" s="304">
        <f t="shared" ca="1" si="178"/>
        <v>3.5454210302202558</v>
      </c>
      <c r="Y446" s="314" t="str">
        <f t="shared" ca="1" si="196"/>
        <v/>
      </c>
      <c r="Z446" s="315" t="str">
        <f t="shared" ca="1" si="197"/>
        <v/>
      </c>
      <c r="AA446" s="316" t="str">
        <f t="shared" ca="1" si="198"/>
        <v/>
      </c>
      <c r="AC446" s="310" t="e">
        <f t="shared" ca="1" si="199"/>
        <v>#N/A</v>
      </c>
      <c r="AD446" s="323" t="e">
        <f t="shared" ca="1" si="200"/>
        <v>#N/A</v>
      </c>
      <c r="AE446" s="324" t="e">
        <f t="shared" ca="1" si="179"/>
        <v>#N/A</v>
      </c>
      <c r="AG446" s="306">
        <f t="shared" ca="1" si="201"/>
        <v>1.4817282568482959</v>
      </c>
      <c r="AH446" s="304">
        <f t="shared" ca="1" si="202"/>
        <v>-8.3030423679489385</v>
      </c>
    </row>
    <row r="447" spans="1:34" x14ac:dyDescent="0.3">
      <c r="A447" s="347">
        <f t="shared" ca="1" si="180"/>
        <v>1E-4</v>
      </c>
      <c r="B447" s="304">
        <f t="shared" ca="1" si="181"/>
        <v>16.110199999999939</v>
      </c>
      <c r="D447" s="306">
        <f t="shared" ca="1" si="182"/>
        <v>-0.59509479042541513</v>
      </c>
      <c r="E447" s="307">
        <f t="shared" ca="1" si="183"/>
        <v>-1.5282593634157795</v>
      </c>
      <c r="F447" s="304">
        <f t="shared" ca="1" si="184"/>
        <v>1.640034905561303</v>
      </c>
      <c r="G447" s="306">
        <f t="shared" ca="1" si="185"/>
        <v>3.7482833631522716</v>
      </c>
      <c r="H447" s="307">
        <f t="shared" ca="1" si="186"/>
        <v>-52.164621390566182</v>
      </c>
      <c r="I447" s="304">
        <f t="shared" ca="1" si="187"/>
        <v>52.299114265842007</v>
      </c>
      <c r="J447" s="306">
        <f t="shared" ca="1" si="188"/>
        <v>150.09587023194715</v>
      </c>
      <c r="K447" s="307">
        <f t="shared" ca="1" si="189"/>
        <v>-3.3561558599384052</v>
      </c>
      <c r="L447" s="304">
        <f t="shared" ca="1" si="174"/>
        <v>150.13338750205338</v>
      </c>
      <c r="M447" s="306">
        <f t="shared" ca="1" si="190"/>
        <v>-1.4990647159572403</v>
      </c>
      <c r="N447" s="304">
        <f t="shared" ca="1" si="191"/>
        <v>-85.890081441327425</v>
      </c>
      <c r="P447" s="310">
        <f t="shared" ca="1" si="192"/>
        <v>23</v>
      </c>
      <c r="Q447" s="304">
        <f t="shared" ca="1" si="193"/>
        <v>0</v>
      </c>
      <c r="R447" s="306">
        <f t="shared" ca="1" si="194"/>
        <v>0</v>
      </c>
      <c r="S447" s="307">
        <f t="shared" ca="1" si="195"/>
        <v>0.4270000000000001</v>
      </c>
      <c r="T447" s="304">
        <f t="shared" ca="1" si="175"/>
        <v>4.1888700000000014</v>
      </c>
      <c r="U447" s="311">
        <f t="shared" ca="1" si="176"/>
        <v>0</v>
      </c>
      <c r="V447" s="306">
        <f t="shared" ca="1" si="177"/>
        <v>1.2254111980950875</v>
      </c>
      <c r="W447" s="304">
        <f t="shared" ca="1" si="178"/>
        <v>3.5454429687267677</v>
      </c>
      <c r="Y447" s="314" t="str">
        <f t="shared" ca="1" si="196"/>
        <v/>
      </c>
      <c r="Z447" s="315" t="str">
        <f t="shared" ca="1" si="197"/>
        <v/>
      </c>
      <c r="AA447" s="316" t="str">
        <f t="shared" ca="1" si="198"/>
        <v/>
      </c>
      <c r="AC447" s="310" t="e">
        <f t="shared" ca="1" si="199"/>
        <v>#N/A</v>
      </c>
      <c r="AD447" s="323" t="e">
        <f t="shared" ca="1" si="200"/>
        <v>#N/A</v>
      </c>
      <c r="AE447" s="324" t="e">
        <f t="shared" ca="1" si="179"/>
        <v>#N/A</v>
      </c>
      <c r="AG447" s="306">
        <f t="shared" ca="1" si="201"/>
        <v>1.481677822464972</v>
      </c>
      <c r="AH447" s="304">
        <f t="shared" ca="1" si="202"/>
        <v>-8.3030937475884183</v>
      </c>
    </row>
    <row r="448" spans="1:34" x14ac:dyDescent="0.3">
      <c r="A448" s="347">
        <f t="shared" ca="1" si="180"/>
        <v>1E-4</v>
      </c>
      <c r="B448" s="304">
        <f t="shared" ca="1" si="181"/>
        <v>16.110299999999938</v>
      </c>
      <c r="D448" s="306">
        <f t="shared" ca="1" si="182"/>
        <v>-0.59508733893207144</v>
      </c>
      <c r="E448" s="307">
        <f t="shared" ca="1" si="183"/>
        <v>-1.528207317281213</v>
      </c>
      <c r="F448" s="304">
        <f t="shared" ca="1" si="184"/>
        <v>1.6399837028303348</v>
      </c>
      <c r="G448" s="306">
        <f t="shared" ca="1" si="185"/>
        <v>3.7482238544183786</v>
      </c>
      <c r="H448" s="307">
        <f t="shared" ca="1" si="186"/>
        <v>-52.16477421129791</v>
      </c>
      <c r="I448" s="304">
        <f t="shared" ca="1" si="187"/>
        <v>52.299262428628211</v>
      </c>
      <c r="J448" s="306">
        <f t="shared" ca="1" si="188"/>
        <v>150.09587023194715</v>
      </c>
      <c r="K448" s="307">
        <f t="shared" ca="1" si="189"/>
        <v>-3.3613723297184985</v>
      </c>
      <c r="L448" s="304">
        <f t="shared" ca="1" si="174"/>
        <v>150.13350420417328</v>
      </c>
      <c r="M448" s="306">
        <f t="shared" ca="1" si="190"/>
        <v>-1.4990660603046813</v>
      </c>
      <c r="N448" s="304">
        <f t="shared" ca="1" si="191"/>
        <v>-85.890158466761989</v>
      </c>
      <c r="P448" s="310">
        <f t="shared" ca="1" si="192"/>
        <v>23</v>
      </c>
      <c r="Q448" s="304">
        <f t="shared" ca="1" si="193"/>
        <v>0</v>
      </c>
      <c r="R448" s="306">
        <f t="shared" ca="1" si="194"/>
        <v>0</v>
      </c>
      <c r="S448" s="307">
        <f t="shared" ca="1" si="195"/>
        <v>0.4270000000000001</v>
      </c>
      <c r="T448" s="304">
        <f t="shared" ca="1" si="175"/>
        <v>4.1888700000000014</v>
      </c>
      <c r="U448" s="311">
        <f t="shared" ca="1" si="176"/>
        <v>0</v>
      </c>
      <c r="V448" s="306">
        <f t="shared" ca="1" si="177"/>
        <v>1.2254118373273202</v>
      </c>
      <c r="W448" s="304">
        <f t="shared" ca="1" si="178"/>
        <v>3.5454649066337449</v>
      </c>
      <c r="Y448" s="314" t="str">
        <f t="shared" ca="1" si="196"/>
        <v/>
      </c>
      <c r="Z448" s="315" t="str">
        <f t="shared" ca="1" si="197"/>
        <v/>
      </c>
      <c r="AA448" s="316" t="str">
        <f t="shared" ca="1" si="198"/>
        <v/>
      </c>
      <c r="AC448" s="310" t="e">
        <f t="shared" ca="1" si="199"/>
        <v>#N/A</v>
      </c>
      <c r="AD448" s="323" t="e">
        <f t="shared" ca="1" si="200"/>
        <v>#N/A</v>
      </c>
      <c r="AE448" s="324" t="e">
        <f t="shared" ca="1" si="179"/>
        <v>#N/A</v>
      </c>
      <c r="AG448" s="306">
        <f t="shared" ca="1" si="201"/>
        <v>1.4816273894476844</v>
      </c>
      <c r="AH448" s="304">
        <f t="shared" ca="1" si="202"/>
        <v>-8.3031451258238107</v>
      </c>
    </row>
    <row r="449" spans="1:34" x14ac:dyDescent="0.3">
      <c r="A449" s="347">
        <f t="shared" ca="1" si="180"/>
        <v>1E-4</v>
      </c>
      <c r="B449" s="304">
        <f t="shared" ca="1" si="181"/>
        <v>16.110399999999938</v>
      </c>
      <c r="D449" s="306">
        <f t="shared" ca="1" si="182"/>
        <v>-0.5950798874390858</v>
      </c>
      <c r="E449" s="307">
        <f t="shared" ca="1" si="183"/>
        <v>-1.5281552725694016</v>
      </c>
      <c r="F449" s="304">
        <f t="shared" ca="1" si="184"/>
        <v>1.6399325015122352</v>
      </c>
      <c r="G449" s="306">
        <f t="shared" ca="1" si="185"/>
        <v>3.7481643464296348</v>
      </c>
      <c r="H449" s="307">
        <f t="shared" ca="1" si="186"/>
        <v>-52.164927026825168</v>
      </c>
      <c r="I449" s="304">
        <f t="shared" ca="1" si="187"/>
        <v>52.299410586371252</v>
      </c>
      <c r="J449" s="306">
        <f t="shared" ca="1" si="188"/>
        <v>150.09587023194715</v>
      </c>
      <c r="K449" s="307">
        <f t="shared" ca="1" si="189"/>
        <v>-3.3665888147804046</v>
      </c>
      <c r="L449" s="304">
        <f t="shared" ca="1" si="174"/>
        <v>150.13362108779407</v>
      </c>
      <c r="M449" s="306">
        <f t="shared" ca="1" si="190"/>
        <v>-1.4990674046231625</v>
      </c>
      <c r="N449" s="304">
        <f t="shared" ca="1" si="191"/>
        <v>-85.890235490537279</v>
      </c>
      <c r="P449" s="310">
        <f t="shared" ca="1" si="192"/>
        <v>23</v>
      </c>
      <c r="Q449" s="304">
        <f t="shared" ca="1" si="193"/>
        <v>0</v>
      </c>
      <c r="R449" s="306">
        <f t="shared" ca="1" si="194"/>
        <v>0</v>
      </c>
      <c r="S449" s="307">
        <f t="shared" ca="1" si="195"/>
        <v>0.4270000000000001</v>
      </c>
      <c r="T449" s="304">
        <f t="shared" ca="1" si="175"/>
        <v>4.1888700000000014</v>
      </c>
      <c r="U449" s="311">
        <f t="shared" ca="1" si="176"/>
        <v>0</v>
      </c>
      <c r="V449" s="306">
        <f t="shared" ca="1" si="177"/>
        <v>1.2254124765617598</v>
      </c>
      <c r="W449" s="304">
        <f t="shared" ca="1" si="178"/>
        <v>3.5454868439412035</v>
      </c>
      <c r="Y449" s="314" t="str">
        <f t="shared" ca="1" si="196"/>
        <v/>
      </c>
      <c r="Z449" s="315" t="str">
        <f t="shared" ca="1" si="197"/>
        <v/>
      </c>
      <c r="AA449" s="316" t="str">
        <f t="shared" ca="1" si="198"/>
        <v/>
      </c>
      <c r="AC449" s="310" t="e">
        <f t="shared" ca="1" si="199"/>
        <v>#N/A</v>
      </c>
      <c r="AD449" s="323" t="e">
        <f t="shared" ca="1" si="200"/>
        <v>#N/A</v>
      </c>
      <c r="AE449" s="324" t="e">
        <f t="shared" ca="1" si="179"/>
        <v>#N/A</v>
      </c>
      <c r="AG449" s="306">
        <f t="shared" ca="1" si="201"/>
        <v>1.4815769577964186</v>
      </c>
      <c r="AH449" s="304">
        <f t="shared" ca="1" si="202"/>
        <v>-8.3031965026551386</v>
      </c>
    </row>
    <row r="450" spans="1:34" x14ac:dyDescent="0.3">
      <c r="A450" s="347">
        <f t="shared" ca="1" si="180"/>
        <v>1E-4</v>
      </c>
      <c r="B450" s="304">
        <f t="shared" ca="1" si="181"/>
        <v>16.110499999999938</v>
      </c>
      <c r="D450" s="306">
        <f t="shared" ca="1" si="182"/>
        <v>-0.59507243594646164</v>
      </c>
      <c r="E450" s="307">
        <f t="shared" ca="1" si="183"/>
        <v>-1.5281032292803065</v>
      </c>
      <c r="F450" s="304">
        <f t="shared" ca="1" si="184"/>
        <v>1.6398813016069658</v>
      </c>
      <c r="G450" s="306">
        <f t="shared" ca="1" si="185"/>
        <v>3.7481048391860403</v>
      </c>
      <c r="H450" s="307">
        <f t="shared" ca="1" si="186"/>
        <v>-52.165079837148099</v>
      </c>
      <c r="I450" s="304">
        <f t="shared" ca="1" si="187"/>
        <v>52.299558739071259</v>
      </c>
      <c r="J450" s="306">
        <f t="shared" ca="1" si="188"/>
        <v>150.09587023194715</v>
      </c>
      <c r="K450" s="307">
        <f t="shared" ca="1" si="189"/>
        <v>-3.3718053151236034</v>
      </c>
      <c r="L450" s="304">
        <f t="shared" ca="1" si="174"/>
        <v>150.13373815291689</v>
      </c>
      <c r="M450" s="306">
        <f t="shared" ca="1" si="190"/>
        <v>-1.4990687489126844</v>
      </c>
      <c r="N450" s="304">
        <f t="shared" ca="1" si="191"/>
        <v>-85.890312512653324</v>
      </c>
      <c r="P450" s="310">
        <f t="shared" ca="1" si="192"/>
        <v>23</v>
      </c>
      <c r="Q450" s="304">
        <f t="shared" ca="1" si="193"/>
        <v>0</v>
      </c>
      <c r="R450" s="306">
        <f t="shared" ca="1" si="194"/>
        <v>0</v>
      </c>
      <c r="S450" s="307">
        <f t="shared" ca="1" si="195"/>
        <v>0.4270000000000001</v>
      </c>
      <c r="T450" s="304">
        <f t="shared" ca="1" si="175"/>
        <v>4.1888700000000014</v>
      </c>
      <c r="U450" s="311">
        <f t="shared" ca="1" si="176"/>
        <v>0</v>
      </c>
      <c r="V450" s="306">
        <f t="shared" ca="1" si="177"/>
        <v>1.225413115798405</v>
      </c>
      <c r="W450" s="304">
        <f t="shared" ca="1" si="178"/>
        <v>3.5455087806491479</v>
      </c>
      <c r="Y450" s="314" t="str">
        <f t="shared" ca="1" si="196"/>
        <v/>
      </c>
      <c r="Z450" s="315" t="str">
        <f t="shared" ca="1" si="197"/>
        <v/>
      </c>
      <c r="AA450" s="316" t="str">
        <f t="shared" ca="1" si="198"/>
        <v/>
      </c>
      <c r="AC450" s="310" t="e">
        <f t="shared" ca="1" si="199"/>
        <v>#N/A</v>
      </c>
      <c r="AD450" s="323" t="e">
        <f t="shared" ca="1" si="200"/>
        <v>#N/A</v>
      </c>
      <c r="AE450" s="324" t="e">
        <f t="shared" ca="1" si="179"/>
        <v>#N/A</v>
      </c>
      <c r="AG450" s="306">
        <f t="shared" ca="1" si="201"/>
        <v>1.4815265275111305</v>
      </c>
      <c r="AH450" s="304">
        <f t="shared" ca="1" si="202"/>
        <v>-8.3032478780824412</v>
      </c>
    </row>
    <row r="451" spans="1:34" x14ac:dyDescent="0.3">
      <c r="A451" s="347">
        <f t="shared" ca="1" si="180"/>
        <v>1E-4</v>
      </c>
      <c r="B451" s="304">
        <f t="shared" ca="1" si="181"/>
        <v>16.110599999999938</v>
      </c>
      <c r="D451" s="306">
        <f t="shared" ca="1" si="182"/>
        <v>-0.59506498445420664</v>
      </c>
      <c r="E451" s="307">
        <f t="shared" ca="1" si="183"/>
        <v>-1.5280511874139133</v>
      </c>
      <c r="F451" s="304">
        <f t="shared" ca="1" si="184"/>
        <v>1.6398301031145135</v>
      </c>
      <c r="G451" s="306">
        <f t="shared" ca="1" si="185"/>
        <v>3.7480453326875951</v>
      </c>
      <c r="H451" s="307">
        <f t="shared" ca="1" si="186"/>
        <v>-52.165232642266844</v>
      </c>
      <c r="I451" s="304">
        <f t="shared" ca="1" si="187"/>
        <v>52.299706886728373</v>
      </c>
      <c r="J451" s="306">
        <f t="shared" ca="1" si="188"/>
        <v>150.09587023194715</v>
      </c>
      <c r="K451" s="307">
        <f t="shared" ca="1" si="189"/>
        <v>-3.3770218307475743</v>
      </c>
      <c r="L451" s="304">
        <f t="shared" ca="1" si="174"/>
        <v>150.13385539954291</v>
      </c>
      <c r="M451" s="306">
        <f t="shared" ca="1" si="190"/>
        <v>-1.4990700931732479</v>
      </c>
      <c r="N451" s="304">
        <f t="shared" ca="1" si="191"/>
        <v>-85.890389533110181</v>
      </c>
      <c r="P451" s="310">
        <f t="shared" ca="1" si="192"/>
        <v>23</v>
      </c>
      <c r="Q451" s="304">
        <f t="shared" ca="1" si="193"/>
        <v>0</v>
      </c>
      <c r="R451" s="306">
        <f t="shared" ca="1" si="194"/>
        <v>0</v>
      </c>
      <c r="S451" s="307">
        <f t="shared" ca="1" si="195"/>
        <v>0.4270000000000001</v>
      </c>
      <c r="T451" s="304">
        <f t="shared" ca="1" si="175"/>
        <v>4.1888700000000014</v>
      </c>
      <c r="U451" s="311">
        <f t="shared" ca="1" si="176"/>
        <v>0</v>
      </c>
      <c r="V451" s="306">
        <f t="shared" ca="1" si="177"/>
        <v>1.2254137550372564</v>
      </c>
      <c r="W451" s="304">
        <f t="shared" ca="1" si="178"/>
        <v>3.545530716757594</v>
      </c>
      <c r="Y451" s="314" t="str">
        <f t="shared" ca="1" si="196"/>
        <v/>
      </c>
      <c r="Z451" s="315" t="str">
        <f t="shared" ca="1" si="197"/>
        <v/>
      </c>
      <c r="AA451" s="316" t="str">
        <f t="shared" ca="1" si="198"/>
        <v/>
      </c>
      <c r="AC451" s="310" t="e">
        <f t="shared" ca="1" si="199"/>
        <v>#N/A</v>
      </c>
      <c r="AD451" s="323" t="e">
        <f t="shared" ca="1" si="200"/>
        <v>#N/A</v>
      </c>
      <c r="AE451" s="324" t="e">
        <f t="shared" ca="1" si="179"/>
        <v>#N/A</v>
      </c>
      <c r="AG451" s="306">
        <f t="shared" ca="1" si="201"/>
        <v>1.4814760985918145</v>
      </c>
      <c r="AH451" s="304">
        <f t="shared" ca="1" si="202"/>
        <v>-8.3032992521057309</v>
      </c>
    </row>
    <row r="452" spans="1:34" x14ac:dyDescent="0.3">
      <c r="A452" s="347">
        <f t="shared" ca="1" si="180"/>
        <v>1E-4</v>
      </c>
      <c r="B452" s="304">
        <f t="shared" ca="1" si="181"/>
        <v>16.110699999999937</v>
      </c>
      <c r="D452" s="306">
        <f t="shared" ca="1" si="182"/>
        <v>-0.595057532962326</v>
      </c>
      <c r="E452" s="307">
        <f t="shared" ca="1" si="183"/>
        <v>-1.5279991469701866</v>
      </c>
      <c r="F452" s="304">
        <f t="shared" ca="1" si="184"/>
        <v>1.6397789060348433</v>
      </c>
      <c r="G452" s="306">
        <f t="shared" ca="1" si="185"/>
        <v>3.7479858269342987</v>
      </c>
      <c r="H452" s="307">
        <f t="shared" ca="1" si="186"/>
        <v>-52.165385442181538</v>
      </c>
      <c r="I452" s="304">
        <f t="shared" ca="1" si="187"/>
        <v>52.29985502934273</v>
      </c>
      <c r="J452" s="306">
        <f t="shared" ca="1" si="188"/>
        <v>150.09587023194715</v>
      </c>
      <c r="K452" s="307">
        <f t="shared" ca="1" si="189"/>
        <v>-3.3822383616517966</v>
      </c>
      <c r="L452" s="304">
        <f t="shared" ref="L452:L515" ca="1" si="203">SQRT(pos_x^2+pos_z^2)</f>
        <v>150.13397282767332</v>
      </c>
      <c r="M452" s="306">
        <f t="shared" ca="1" si="190"/>
        <v>-1.4990714374048542</v>
      </c>
      <c r="N452" s="304">
        <f t="shared" ca="1" si="191"/>
        <v>-85.890466551907906</v>
      </c>
      <c r="P452" s="310">
        <f t="shared" ca="1" si="192"/>
        <v>23</v>
      </c>
      <c r="Q452" s="304">
        <f t="shared" ca="1" si="193"/>
        <v>0</v>
      </c>
      <c r="R452" s="306">
        <f t="shared" ca="1" si="194"/>
        <v>0</v>
      </c>
      <c r="S452" s="307">
        <f t="shared" ca="1" si="195"/>
        <v>0.4270000000000001</v>
      </c>
      <c r="T452" s="304">
        <f t="shared" ref="T452:T515" ca="1" si="204">m*g</f>
        <v>4.1888700000000014</v>
      </c>
      <c r="U452" s="311">
        <f t="shared" ref="U452:U515" ca="1" si="205">IF(pos_xz&lt;L_rampe,Poids*COS(Beta),0)</f>
        <v>0</v>
      </c>
      <c r="V452" s="306">
        <f t="shared" ref="V452:V515" ca="1" si="206">Rho_moyen*(20000-Alt_rampe-pos_z)/(20000+Alt_rampe+pos_z)</f>
        <v>1.225414394278314</v>
      </c>
      <c r="W452" s="304">
        <f t="shared" ref="W452:W515" ca="1" si="207">1/2*Rho*Sref*Cx*vit_xz^2</f>
        <v>3.5455526522665544</v>
      </c>
      <c r="Y452" s="314" t="str">
        <f t="shared" ca="1" si="196"/>
        <v/>
      </c>
      <c r="Z452" s="315" t="str">
        <f t="shared" ca="1" si="197"/>
        <v/>
      </c>
      <c r="AA452" s="316" t="str">
        <f t="shared" ca="1" si="198"/>
        <v/>
      </c>
      <c r="AC452" s="310" t="e">
        <f t="shared" ca="1" si="199"/>
        <v>#N/A</v>
      </c>
      <c r="AD452" s="323" t="e">
        <f t="shared" ca="1" si="200"/>
        <v>#N/A</v>
      </c>
      <c r="AE452" s="324" t="e">
        <f t="shared" ref="AE452:AE515" ca="1" si="208">IF(t&lt;T_para, pos_z, NA())</f>
        <v>#N/A</v>
      </c>
      <c r="AG452" s="306">
        <f t="shared" ca="1" si="201"/>
        <v>1.4814256710384353</v>
      </c>
      <c r="AH452" s="304">
        <f t="shared" ca="1" si="202"/>
        <v>-8.3033506247250433</v>
      </c>
    </row>
    <row r="453" spans="1:34" x14ac:dyDescent="0.3">
      <c r="A453" s="347">
        <f t="shared" ref="A453:A516" ca="1" si="209">IF(B452+0.01&lt;=T_ini+ROUNDUP(Temps_fin_propu,0), 0.01, IF(K452&gt;0, 0.1, 0.0001))</f>
        <v>1E-4</v>
      </c>
      <c r="B453" s="304">
        <f t="shared" ref="B453:B516" ca="1" si="210">B452+pas</f>
        <v>16.110799999999937</v>
      </c>
      <c r="D453" s="306">
        <f t="shared" ref="D453:D516" ca="1" si="211">IF(AND(L452&lt;L_rampe,Poussee&lt;Poids*SIN(M452)),0,(-W452+Poussee)/m*COS(M452)-U452/m*SIN(M452))</f>
        <v>-0.59505008147082283</v>
      </c>
      <c r="E453" s="307">
        <f t="shared" ref="E453:E516" ca="1" si="212">IF(AND(L452&lt;L_rampe,Poussee&lt;Poids*SIN(M452)),0,(-W452+Poussee)/m*SIN(M452)+U452/m*COS(M452)-Poids/m)</f>
        <v>-1.5279471079490996</v>
      </c>
      <c r="F453" s="304">
        <f t="shared" ref="F453:F516" ca="1" si="213">SQRT(acc_x^2+acc_z^2)</f>
        <v>1.6397277103679289</v>
      </c>
      <c r="G453" s="306">
        <f t="shared" ref="G453:G516" ca="1" si="214">G452+acc_x*pas</f>
        <v>3.7479263219261516</v>
      </c>
      <c r="H453" s="307">
        <f t="shared" ref="H453:H516" ca="1" si="215">H452+acc_z*pas</f>
        <v>-52.165538236892331</v>
      </c>
      <c r="I453" s="304">
        <f t="shared" ref="I453:I516" ca="1" si="216">SQRT(vit_x^2+vit_z^2)</f>
        <v>52.300003166914465</v>
      </c>
      <c r="J453" s="306">
        <f t="shared" ref="J453:J516" ca="1" si="217">J452+0.5*(vit_x+G452)*pas*(K452&gt;=0)</f>
        <v>150.09587023194715</v>
      </c>
      <c r="K453" s="307">
        <f t="shared" ref="K453:K516" ca="1" si="218">K452+0.5*(vit_z+H452)*pas</f>
        <v>-3.3874549078357501</v>
      </c>
      <c r="L453" s="304">
        <f t="shared" ca="1" si="203"/>
        <v>150.1340904373092</v>
      </c>
      <c r="M453" s="306">
        <f t="shared" ref="M453:M516" ca="1" si="219">IF(AND(L452&gt;L_rampe,G453&gt;0),ATAN2(G453,H453),$M$4)</f>
        <v>-1.4990727816075038</v>
      </c>
      <c r="N453" s="304">
        <f t="shared" ref="N453:N516" ca="1" si="220">DEGREES(Beta)</f>
        <v>-85.890543569046542</v>
      </c>
      <c r="P453" s="310">
        <f t="shared" ref="P453:P516" ca="1" si="221">MATCH(t-pas/2-T_ini,CdP_t)</f>
        <v>23</v>
      </c>
      <c r="Q453" s="304">
        <f t="shared" ref="Q453:Q516" ca="1" si="222">(INDEX(CdP,2,i_P+1)-INDEX(CdP,2,i_P+0))/(INDEX(CdP,1,i_P+1)-INDEX(CdP,1,i_P+0))*(t-pas/2-T_ini-INDEX(CdP,1,i_P+0))+INDEX(CdP,2,i_P+0)</f>
        <v>0</v>
      </c>
      <c r="R453" s="306">
        <f t="shared" ref="R453:R516" ca="1" si="223">Poussee/(g*ISP)</f>
        <v>0</v>
      </c>
      <c r="S453" s="307">
        <f t="shared" ref="S453:S516" ca="1" si="224">S452-Débit*pas</f>
        <v>0.4270000000000001</v>
      </c>
      <c r="T453" s="304">
        <f t="shared" ca="1" si="204"/>
        <v>4.1888700000000014</v>
      </c>
      <c r="U453" s="311">
        <f t="shared" ca="1" si="205"/>
        <v>0</v>
      </c>
      <c r="V453" s="306">
        <f t="shared" ca="1" si="206"/>
        <v>1.2254150335215768</v>
      </c>
      <c r="W453" s="304">
        <f t="shared" ca="1" si="207"/>
        <v>3.5455745871760365</v>
      </c>
      <c r="Y453" s="314" t="str">
        <f t="shared" ref="Y453:Y516" ca="1" si="225">IF(AND(pos_z&lt;=0,K452&gt;0),"Impact balistique","") &amp; IF(AND(H454&lt;0,vit_z&gt;=0),"Apogée","") &amp; IF(AND(Poussee=0,Q452&gt;0),"Fin de propulsion","") &amp; IF(AND(L454&gt;L_rampe,pos_xz&lt;=L_rampe),"Sortie de rampe","")</f>
        <v/>
      </c>
      <c r="Z453" s="315" t="str">
        <f t="shared" ref="Z453:Z516" ca="1" si="226">IF(ABS(t-T_para)&lt;pas/2,"Para","")</f>
        <v/>
      </c>
      <c r="AA453" s="316" t="str">
        <f t="shared" ref="AA453:AA516" ca="1" si="227">IF(ABS(t-T_satellite)&lt;pas/2,"Satellite","")</f>
        <v/>
      </c>
      <c r="AC453" s="310" t="e">
        <f t="shared" ref="AC453:AC516" ca="1" si="228">IF(ABS(t-ROUND(t,0))&lt;0.001,t,NA())</f>
        <v>#N/A</v>
      </c>
      <c r="AD453" s="323" t="e">
        <f t="shared" ref="AD453:AD516" ca="1" si="229">IF(ABS(t-ROUND(t,0))&lt;0.001,pos_x,NA())</f>
        <v>#N/A</v>
      </c>
      <c r="AE453" s="324" t="e">
        <f t="shared" ca="1" si="208"/>
        <v>#N/A</v>
      </c>
      <c r="AG453" s="306">
        <f t="shared" ref="AG453:AG516" ca="1" si="230">IF(AND(L452&lt;L_rampe,Poussee&lt;Poids*SIN(M452)),0,(-W452+Poussee)/m-Poids*SIN(M452)/m)</f>
        <v>1.4813752448509661</v>
      </c>
      <c r="AH453" s="304">
        <f t="shared" ref="AH453:AH516" ca="1" si="231">IF(AND(L452&lt;L_rampe,Poussee&lt;Poids*SIN(M452)), g*SIN(M452), (-W452+Poussee)/m)</f>
        <v>-8.3034019959404066</v>
      </c>
    </row>
    <row r="454" spans="1:34" x14ac:dyDescent="0.3">
      <c r="A454" s="347">
        <f t="shared" ca="1" si="209"/>
        <v>1E-4</v>
      </c>
      <c r="B454" s="304">
        <f t="shared" ca="1" si="210"/>
        <v>16.110899999999937</v>
      </c>
      <c r="D454" s="306">
        <f t="shared" ca="1" si="211"/>
        <v>-0.59504262997970314</v>
      </c>
      <c r="E454" s="307">
        <f t="shared" ca="1" si="212"/>
        <v>-1.5278950703506293</v>
      </c>
      <c r="F454" s="304">
        <f t="shared" ca="1" si="213"/>
        <v>1.6396765161137474</v>
      </c>
      <c r="G454" s="306">
        <f t="shared" ca="1" si="214"/>
        <v>3.7478668176631538</v>
      </c>
      <c r="H454" s="307">
        <f t="shared" ca="1" si="215"/>
        <v>-52.165691026399365</v>
      </c>
      <c r="I454" s="304">
        <f t="shared" ca="1" si="216"/>
        <v>52.300151299443712</v>
      </c>
      <c r="J454" s="306">
        <f t="shared" ca="1" si="217"/>
        <v>150.09587023194715</v>
      </c>
      <c r="K454" s="307">
        <f t="shared" ca="1" si="218"/>
        <v>-3.3926714692989148</v>
      </c>
      <c r="L454" s="304">
        <f t="shared" ca="1" si="203"/>
        <v>150.13420822845174</v>
      </c>
      <c r="M454" s="306">
        <f t="shared" ca="1" si="219"/>
        <v>-1.4990741257811975</v>
      </c>
      <c r="N454" s="304">
        <f t="shared" ca="1" si="220"/>
        <v>-85.890620584526133</v>
      </c>
      <c r="P454" s="310">
        <f t="shared" ca="1" si="221"/>
        <v>23</v>
      </c>
      <c r="Q454" s="304">
        <f t="shared" ca="1" si="222"/>
        <v>0</v>
      </c>
      <c r="R454" s="306">
        <f t="shared" ca="1" si="223"/>
        <v>0</v>
      </c>
      <c r="S454" s="307">
        <f t="shared" ca="1" si="224"/>
        <v>0.4270000000000001</v>
      </c>
      <c r="T454" s="304">
        <f t="shared" ca="1" si="204"/>
        <v>4.1888700000000014</v>
      </c>
      <c r="U454" s="311">
        <f t="shared" ca="1" si="205"/>
        <v>0</v>
      </c>
      <c r="V454" s="306">
        <f t="shared" ca="1" si="206"/>
        <v>1.2254156727670462</v>
      </c>
      <c r="W454" s="304">
        <f t="shared" ca="1" si="207"/>
        <v>3.5455965214860568</v>
      </c>
      <c r="Y454" s="314" t="str">
        <f t="shared" ca="1" si="225"/>
        <v/>
      </c>
      <c r="Z454" s="315" t="str">
        <f t="shared" ca="1" si="226"/>
        <v/>
      </c>
      <c r="AA454" s="316" t="str">
        <f t="shared" ca="1" si="227"/>
        <v/>
      </c>
      <c r="AC454" s="310" t="e">
        <f t="shared" ca="1" si="228"/>
        <v>#N/A</v>
      </c>
      <c r="AD454" s="323" t="e">
        <f t="shared" ca="1" si="229"/>
        <v>#N/A</v>
      </c>
      <c r="AE454" s="324" t="e">
        <f t="shared" ca="1" si="208"/>
        <v>#N/A</v>
      </c>
      <c r="AG454" s="306">
        <f t="shared" ca="1" si="230"/>
        <v>1.4813248200293874</v>
      </c>
      <c r="AH454" s="304">
        <f t="shared" ca="1" si="231"/>
        <v>-8.3034533657518406</v>
      </c>
    </row>
    <row r="455" spans="1:34" x14ac:dyDescent="0.3">
      <c r="A455" s="347">
        <f t="shared" ca="1" si="209"/>
        <v>1E-4</v>
      </c>
      <c r="B455" s="304">
        <f t="shared" ca="1" si="210"/>
        <v>16.110999999999937</v>
      </c>
      <c r="D455" s="306">
        <f t="shared" ca="1" si="211"/>
        <v>-0.59503517848897425</v>
      </c>
      <c r="E455" s="307">
        <f t="shared" ca="1" si="212"/>
        <v>-1.5278430341747402</v>
      </c>
      <c r="F455" s="304">
        <f t="shared" ca="1" si="213"/>
        <v>1.6396253232722657</v>
      </c>
      <c r="G455" s="306">
        <f t="shared" ca="1" si="214"/>
        <v>3.7478073141453048</v>
      </c>
      <c r="H455" s="307">
        <f t="shared" ca="1" si="215"/>
        <v>-52.165843810702782</v>
      </c>
      <c r="I455" s="304">
        <f t="shared" ca="1" si="216"/>
        <v>52.300299426930614</v>
      </c>
      <c r="J455" s="306">
        <f t="shared" ca="1" si="217"/>
        <v>150.09587023194715</v>
      </c>
      <c r="K455" s="307">
        <f t="shared" ca="1" si="218"/>
        <v>-3.3978880460407699</v>
      </c>
      <c r="L455" s="304">
        <f t="shared" ca="1" si="203"/>
        <v>150.13432620110214</v>
      </c>
      <c r="M455" s="306">
        <f t="shared" ca="1" si="219"/>
        <v>-1.4990754699259363</v>
      </c>
      <c r="N455" s="304">
        <f t="shared" ca="1" si="220"/>
        <v>-85.890697598346719</v>
      </c>
      <c r="P455" s="310">
        <f t="shared" ca="1" si="221"/>
        <v>23</v>
      </c>
      <c r="Q455" s="304">
        <f t="shared" ca="1" si="222"/>
        <v>0</v>
      </c>
      <c r="R455" s="306">
        <f t="shared" ca="1" si="223"/>
        <v>0</v>
      </c>
      <c r="S455" s="307">
        <f t="shared" ca="1" si="224"/>
        <v>0.4270000000000001</v>
      </c>
      <c r="T455" s="304">
        <f t="shared" ca="1" si="204"/>
        <v>4.1888700000000014</v>
      </c>
      <c r="U455" s="311">
        <f t="shared" ca="1" si="205"/>
        <v>0</v>
      </c>
      <c r="V455" s="306">
        <f t="shared" ca="1" si="206"/>
        <v>1.2254163120147212</v>
      </c>
      <c r="W455" s="304">
        <f t="shared" ca="1" si="207"/>
        <v>3.5456184551966241</v>
      </c>
      <c r="Y455" s="314" t="str">
        <f t="shared" ca="1" si="225"/>
        <v/>
      </c>
      <c r="Z455" s="315" t="str">
        <f t="shared" ca="1" si="226"/>
        <v/>
      </c>
      <c r="AA455" s="316" t="str">
        <f t="shared" ca="1" si="227"/>
        <v/>
      </c>
      <c r="AC455" s="310" t="e">
        <f t="shared" ca="1" si="228"/>
        <v>#N/A</v>
      </c>
      <c r="AD455" s="323" t="e">
        <f t="shared" ca="1" si="229"/>
        <v>#N/A</v>
      </c>
      <c r="AE455" s="324" t="e">
        <f t="shared" ca="1" si="208"/>
        <v>#N/A</v>
      </c>
      <c r="AG455" s="306">
        <f t="shared" ca="1" si="230"/>
        <v>1.4812743965736672</v>
      </c>
      <c r="AH455" s="304">
        <f t="shared" ca="1" si="231"/>
        <v>-8.3035047341593824</v>
      </c>
    </row>
    <row r="456" spans="1:34" x14ac:dyDescent="0.3">
      <c r="A456" s="347">
        <f t="shared" ca="1" si="209"/>
        <v>1E-4</v>
      </c>
      <c r="B456" s="304">
        <f t="shared" ca="1" si="210"/>
        <v>16.111099999999936</v>
      </c>
      <c r="D456" s="306">
        <f t="shared" ca="1" si="211"/>
        <v>-0.5950277269986386</v>
      </c>
      <c r="E456" s="307">
        <f t="shared" ca="1" si="212"/>
        <v>-1.5277909994214127</v>
      </c>
      <c r="F456" s="304">
        <f t="shared" ca="1" si="213"/>
        <v>1.6395741318434631</v>
      </c>
      <c r="G456" s="306">
        <f t="shared" ca="1" si="214"/>
        <v>3.747747811372605</v>
      </c>
      <c r="H456" s="307">
        <f t="shared" ca="1" si="215"/>
        <v>-52.165996589802724</v>
      </c>
      <c r="I456" s="304">
        <f t="shared" ca="1" si="216"/>
        <v>52.300447549375306</v>
      </c>
      <c r="J456" s="306">
        <f t="shared" ca="1" si="217"/>
        <v>150.09587023194715</v>
      </c>
      <c r="K456" s="307">
        <f t="shared" ca="1" si="218"/>
        <v>-3.4031046380607952</v>
      </c>
      <c r="L456" s="304">
        <f t="shared" ca="1" si="203"/>
        <v>150.13444435526148</v>
      </c>
      <c r="M456" s="306">
        <f t="shared" ca="1" si="219"/>
        <v>-1.499076814041721</v>
      </c>
      <c r="N456" s="304">
        <f t="shared" ca="1" si="220"/>
        <v>-85.890774610508359</v>
      </c>
      <c r="P456" s="310">
        <f t="shared" ca="1" si="221"/>
        <v>23</v>
      </c>
      <c r="Q456" s="304">
        <f t="shared" ca="1" si="222"/>
        <v>0</v>
      </c>
      <c r="R456" s="306">
        <f t="shared" ca="1" si="223"/>
        <v>0</v>
      </c>
      <c r="S456" s="307">
        <f t="shared" ca="1" si="224"/>
        <v>0.4270000000000001</v>
      </c>
      <c r="T456" s="304">
        <f t="shared" ca="1" si="204"/>
        <v>4.1888700000000014</v>
      </c>
      <c r="U456" s="311">
        <f t="shared" ca="1" si="205"/>
        <v>0</v>
      </c>
      <c r="V456" s="306">
        <f t="shared" ca="1" si="206"/>
        <v>1.2254169512646018</v>
      </c>
      <c r="W456" s="304">
        <f t="shared" ca="1" si="207"/>
        <v>3.5456403883077505</v>
      </c>
      <c r="Y456" s="314" t="str">
        <f t="shared" ca="1" si="225"/>
        <v/>
      </c>
      <c r="Z456" s="315" t="str">
        <f t="shared" ca="1" si="226"/>
        <v/>
      </c>
      <c r="AA456" s="316" t="str">
        <f t="shared" ca="1" si="227"/>
        <v/>
      </c>
      <c r="AC456" s="310" t="e">
        <f t="shared" ca="1" si="228"/>
        <v>#N/A</v>
      </c>
      <c r="AD456" s="323" t="e">
        <f t="shared" ca="1" si="229"/>
        <v>#N/A</v>
      </c>
      <c r="AE456" s="324" t="e">
        <f t="shared" ca="1" si="208"/>
        <v>#N/A</v>
      </c>
      <c r="AG456" s="306">
        <f t="shared" ca="1" si="230"/>
        <v>1.4812239744837843</v>
      </c>
      <c r="AH456" s="304">
        <f t="shared" ca="1" si="231"/>
        <v>-8.3035561011630517</v>
      </c>
    </row>
    <row r="457" spans="1:34" x14ac:dyDescent="0.3">
      <c r="A457" s="347">
        <f t="shared" ca="1" si="209"/>
        <v>1E-4</v>
      </c>
      <c r="B457" s="304">
        <f t="shared" ca="1" si="210"/>
        <v>16.111199999999936</v>
      </c>
      <c r="D457" s="306">
        <f t="shared" ca="1" si="211"/>
        <v>-0.59502027550870296</v>
      </c>
      <c r="E457" s="307">
        <f t="shared" ca="1" si="212"/>
        <v>-1.5277389660906131</v>
      </c>
      <c r="F457" s="304">
        <f t="shared" ca="1" si="213"/>
        <v>1.6395229418273074</v>
      </c>
      <c r="G457" s="306">
        <f t="shared" ca="1" si="214"/>
        <v>3.7476883093450541</v>
      </c>
      <c r="H457" s="307">
        <f t="shared" ca="1" si="215"/>
        <v>-52.166149363699333</v>
      </c>
      <c r="I457" s="304">
        <f t="shared" ca="1" si="216"/>
        <v>52.300595666777923</v>
      </c>
      <c r="J457" s="306">
        <f t="shared" ca="1" si="217"/>
        <v>150.09587023194715</v>
      </c>
      <c r="K457" s="307">
        <f t="shared" ca="1" si="218"/>
        <v>-3.4083212453584704</v>
      </c>
      <c r="L457" s="304">
        <f t="shared" ca="1" si="203"/>
        <v>150.13456269093095</v>
      </c>
      <c r="M457" s="306">
        <f t="shared" ca="1" si="219"/>
        <v>-1.4990781581285522</v>
      </c>
      <c r="N457" s="304">
        <f t="shared" ca="1" si="220"/>
        <v>-85.89085162101108</v>
      </c>
      <c r="P457" s="310">
        <f t="shared" ca="1" si="221"/>
        <v>23</v>
      </c>
      <c r="Q457" s="304">
        <f t="shared" ca="1" si="222"/>
        <v>0</v>
      </c>
      <c r="R457" s="306">
        <f t="shared" ca="1" si="223"/>
        <v>0</v>
      </c>
      <c r="S457" s="307">
        <f t="shared" ca="1" si="224"/>
        <v>0.4270000000000001</v>
      </c>
      <c r="T457" s="304">
        <f t="shared" ca="1" si="204"/>
        <v>4.1888700000000014</v>
      </c>
      <c r="U457" s="311">
        <f t="shared" ca="1" si="205"/>
        <v>0</v>
      </c>
      <c r="V457" s="306">
        <f t="shared" ca="1" si="206"/>
        <v>1.225417590516688</v>
      </c>
      <c r="W457" s="304">
        <f t="shared" ca="1" si="207"/>
        <v>3.5456623208194475</v>
      </c>
      <c r="Y457" s="314" t="str">
        <f t="shared" ca="1" si="225"/>
        <v/>
      </c>
      <c r="Z457" s="315" t="str">
        <f t="shared" ca="1" si="226"/>
        <v/>
      </c>
      <c r="AA457" s="316" t="str">
        <f t="shared" ca="1" si="227"/>
        <v/>
      </c>
      <c r="AC457" s="310" t="e">
        <f t="shared" ca="1" si="228"/>
        <v>#N/A</v>
      </c>
      <c r="AD457" s="323" t="e">
        <f t="shared" ca="1" si="229"/>
        <v>#N/A</v>
      </c>
      <c r="AE457" s="324" t="e">
        <f t="shared" ca="1" si="208"/>
        <v>#N/A</v>
      </c>
      <c r="AG457" s="306">
        <f t="shared" ca="1" si="230"/>
        <v>1.4811735537597119</v>
      </c>
      <c r="AH457" s="304">
        <f t="shared" ca="1" si="231"/>
        <v>-8.3036074667628803</v>
      </c>
    </row>
    <row r="458" spans="1:34" x14ac:dyDescent="0.3">
      <c r="A458" s="347">
        <f t="shared" ca="1" si="209"/>
        <v>1E-4</v>
      </c>
      <c r="B458" s="304">
        <f t="shared" ca="1" si="210"/>
        <v>16.111299999999936</v>
      </c>
      <c r="D458" s="306">
        <f t="shared" ca="1" si="211"/>
        <v>-0.59501282401917377</v>
      </c>
      <c r="E458" s="307">
        <f t="shared" ca="1" si="212"/>
        <v>-1.5276869341823183</v>
      </c>
      <c r="F458" s="304">
        <f t="shared" ca="1" si="213"/>
        <v>1.6394717532237764</v>
      </c>
      <c r="G458" s="306">
        <f t="shared" ca="1" si="214"/>
        <v>3.7476288080626521</v>
      </c>
      <c r="H458" s="307">
        <f t="shared" ca="1" si="215"/>
        <v>-52.166302132392751</v>
      </c>
      <c r="I458" s="304">
        <f t="shared" ca="1" si="216"/>
        <v>52.300743779138607</v>
      </c>
      <c r="J458" s="306">
        <f t="shared" ca="1" si="217"/>
        <v>150.09587023194715</v>
      </c>
      <c r="K458" s="307">
        <f t="shared" ca="1" si="218"/>
        <v>-3.4135378679332748</v>
      </c>
      <c r="L458" s="304">
        <f t="shared" ca="1" si="203"/>
        <v>150.13468120811172</v>
      </c>
      <c r="M458" s="306">
        <f t="shared" ca="1" si="219"/>
        <v>-1.4990795021864312</v>
      </c>
      <c r="N458" s="304">
        <f t="shared" ca="1" si="220"/>
        <v>-85.890928629854969</v>
      </c>
      <c r="P458" s="310">
        <f t="shared" ca="1" si="221"/>
        <v>23</v>
      </c>
      <c r="Q458" s="304">
        <f t="shared" ca="1" si="222"/>
        <v>0</v>
      </c>
      <c r="R458" s="306">
        <f t="shared" ca="1" si="223"/>
        <v>0</v>
      </c>
      <c r="S458" s="307">
        <f t="shared" ca="1" si="224"/>
        <v>0.4270000000000001</v>
      </c>
      <c r="T458" s="304">
        <f t="shared" ca="1" si="204"/>
        <v>4.1888700000000014</v>
      </c>
      <c r="U458" s="311">
        <f t="shared" ca="1" si="205"/>
        <v>0</v>
      </c>
      <c r="V458" s="306">
        <f t="shared" ca="1" si="206"/>
        <v>1.2254182297709801</v>
      </c>
      <c r="W458" s="304">
        <f t="shared" ca="1" si="207"/>
        <v>3.5456842527317285</v>
      </c>
      <c r="Y458" s="314" t="str">
        <f t="shared" ca="1" si="225"/>
        <v/>
      </c>
      <c r="Z458" s="315" t="str">
        <f t="shared" ca="1" si="226"/>
        <v/>
      </c>
      <c r="AA458" s="316" t="str">
        <f t="shared" ca="1" si="227"/>
        <v/>
      </c>
      <c r="AC458" s="310" t="e">
        <f t="shared" ca="1" si="228"/>
        <v>#N/A</v>
      </c>
      <c r="AD458" s="323" t="e">
        <f t="shared" ca="1" si="229"/>
        <v>#N/A</v>
      </c>
      <c r="AE458" s="324" t="e">
        <f t="shared" ca="1" si="208"/>
        <v>#N/A</v>
      </c>
      <c r="AG458" s="306">
        <f t="shared" ca="1" si="230"/>
        <v>1.4811231344014235</v>
      </c>
      <c r="AH458" s="304">
        <f t="shared" ca="1" si="231"/>
        <v>-8.3036588309588915</v>
      </c>
    </row>
    <row r="459" spans="1:34" x14ac:dyDescent="0.3">
      <c r="A459" s="347">
        <f t="shared" ca="1" si="209"/>
        <v>1E-4</v>
      </c>
      <c r="B459" s="304">
        <f t="shared" ca="1" si="210"/>
        <v>16.111399999999936</v>
      </c>
      <c r="D459" s="306">
        <f t="shared" ca="1" si="211"/>
        <v>-0.59500537253005259</v>
      </c>
      <c r="E459" s="307">
        <f t="shared" ca="1" si="212"/>
        <v>-1.5276349036964927</v>
      </c>
      <c r="F459" s="304">
        <f t="shared" ca="1" si="213"/>
        <v>1.6394205660328343</v>
      </c>
      <c r="G459" s="306">
        <f t="shared" ca="1" si="214"/>
        <v>3.7475693075253993</v>
      </c>
      <c r="H459" s="307">
        <f t="shared" ca="1" si="215"/>
        <v>-52.16645489588312</v>
      </c>
      <c r="I459" s="304">
        <f t="shared" ca="1" si="216"/>
        <v>52.300891886457485</v>
      </c>
      <c r="J459" s="306">
        <f t="shared" ca="1" si="217"/>
        <v>150.09587023194715</v>
      </c>
      <c r="K459" s="307">
        <f t="shared" ca="1" si="218"/>
        <v>-3.4187545057846886</v>
      </c>
      <c r="L459" s="304">
        <f t="shared" ca="1" si="203"/>
        <v>150.13479990680489</v>
      </c>
      <c r="M459" s="306">
        <f t="shared" ca="1" si="219"/>
        <v>-1.4990808462153584</v>
      </c>
      <c r="N459" s="304">
        <f t="shared" ca="1" si="220"/>
        <v>-85.891005637040038</v>
      </c>
      <c r="P459" s="310">
        <f t="shared" ca="1" si="221"/>
        <v>23</v>
      </c>
      <c r="Q459" s="304">
        <f t="shared" ca="1" si="222"/>
        <v>0</v>
      </c>
      <c r="R459" s="306">
        <f t="shared" ca="1" si="223"/>
        <v>0</v>
      </c>
      <c r="S459" s="307">
        <f t="shared" ca="1" si="224"/>
        <v>0.4270000000000001</v>
      </c>
      <c r="T459" s="304">
        <f t="shared" ca="1" si="204"/>
        <v>4.1888700000000014</v>
      </c>
      <c r="U459" s="311">
        <f t="shared" ca="1" si="205"/>
        <v>0</v>
      </c>
      <c r="V459" s="306">
        <f t="shared" ca="1" si="206"/>
        <v>1.2254188690274772</v>
      </c>
      <c r="W459" s="304">
        <f t="shared" ca="1" si="207"/>
        <v>3.5457061840446022</v>
      </c>
      <c r="Y459" s="314" t="str">
        <f t="shared" ca="1" si="225"/>
        <v/>
      </c>
      <c r="Z459" s="315" t="str">
        <f t="shared" ca="1" si="226"/>
        <v/>
      </c>
      <c r="AA459" s="316" t="str">
        <f t="shared" ca="1" si="227"/>
        <v/>
      </c>
      <c r="AC459" s="310" t="e">
        <f t="shared" ca="1" si="228"/>
        <v>#N/A</v>
      </c>
      <c r="AD459" s="323" t="e">
        <f t="shared" ca="1" si="229"/>
        <v>#N/A</v>
      </c>
      <c r="AE459" s="324" t="e">
        <f t="shared" ca="1" si="208"/>
        <v>#N/A</v>
      </c>
      <c r="AG459" s="306">
        <f t="shared" ca="1" si="230"/>
        <v>1.4810727164088924</v>
      </c>
      <c r="AH459" s="304">
        <f t="shared" ca="1" si="231"/>
        <v>-8.3037101937511189</v>
      </c>
    </row>
    <row r="460" spans="1:34" x14ac:dyDescent="0.3">
      <c r="A460" s="347">
        <f t="shared" ca="1" si="209"/>
        <v>1E-4</v>
      </c>
      <c r="B460" s="304">
        <f t="shared" ca="1" si="210"/>
        <v>16.111499999999936</v>
      </c>
      <c r="D460" s="306">
        <f t="shared" ca="1" si="211"/>
        <v>-0.59499792104134719</v>
      </c>
      <c r="E460" s="307">
        <f t="shared" ca="1" si="212"/>
        <v>-1.5275828746331186</v>
      </c>
      <c r="F460" s="304">
        <f t="shared" ca="1" si="213"/>
        <v>1.6393693802544647</v>
      </c>
      <c r="G460" s="306">
        <f t="shared" ca="1" si="214"/>
        <v>3.7475098077332953</v>
      </c>
      <c r="H460" s="307">
        <f t="shared" ca="1" si="215"/>
        <v>-52.166607654170583</v>
      </c>
      <c r="I460" s="304">
        <f t="shared" ca="1" si="216"/>
        <v>52.301039988734701</v>
      </c>
      <c r="J460" s="306">
        <f t="shared" ca="1" si="217"/>
        <v>150.09587023194715</v>
      </c>
      <c r="K460" s="307">
        <f t="shared" ca="1" si="218"/>
        <v>-3.4239711589121913</v>
      </c>
      <c r="L460" s="304">
        <f t="shared" ca="1" si="203"/>
        <v>150.13491878701163</v>
      </c>
      <c r="M460" s="306">
        <f t="shared" ca="1" si="219"/>
        <v>-1.4990821902153348</v>
      </c>
      <c r="N460" s="304">
        <f t="shared" ca="1" si="220"/>
        <v>-85.89108264256636</v>
      </c>
      <c r="P460" s="310">
        <f t="shared" ca="1" si="221"/>
        <v>23</v>
      </c>
      <c r="Q460" s="304">
        <f t="shared" ca="1" si="222"/>
        <v>0</v>
      </c>
      <c r="R460" s="306">
        <f t="shared" ca="1" si="223"/>
        <v>0</v>
      </c>
      <c r="S460" s="307">
        <f t="shared" ca="1" si="224"/>
        <v>0.4270000000000001</v>
      </c>
      <c r="T460" s="304">
        <f t="shared" ca="1" si="204"/>
        <v>4.1888700000000014</v>
      </c>
      <c r="U460" s="311">
        <f t="shared" ca="1" si="205"/>
        <v>0</v>
      </c>
      <c r="V460" s="306">
        <f t="shared" ca="1" si="206"/>
        <v>1.2254195082861803</v>
      </c>
      <c r="W460" s="304">
        <f t="shared" ca="1" si="207"/>
        <v>3.545728114758083</v>
      </c>
      <c r="Y460" s="314" t="str">
        <f t="shared" ca="1" si="225"/>
        <v/>
      </c>
      <c r="Z460" s="315" t="str">
        <f t="shared" ca="1" si="226"/>
        <v/>
      </c>
      <c r="AA460" s="316" t="str">
        <f t="shared" ca="1" si="227"/>
        <v/>
      </c>
      <c r="AC460" s="310" t="e">
        <f t="shared" ca="1" si="228"/>
        <v>#N/A</v>
      </c>
      <c r="AD460" s="323" t="e">
        <f t="shared" ca="1" si="229"/>
        <v>#N/A</v>
      </c>
      <c r="AE460" s="324" t="e">
        <f t="shared" ca="1" si="208"/>
        <v>#N/A</v>
      </c>
      <c r="AG460" s="306">
        <f t="shared" ca="1" si="230"/>
        <v>1.481022299782099</v>
      </c>
      <c r="AH460" s="304">
        <f t="shared" ca="1" si="231"/>
        <v>-8.303761555139582</v>
      </c>
    </row>
    <row r="461" spans="1:34" x14ac:dyDescent="0.3">
      <c r="A461" s="347">
        <f t="shared" ca="1" si="209"/>
        <v>1E-4</v>
      </c>
      <c r="B461" s="304">
        <f t="shared" ca="1" si="210"/>
        <v>16.111599999999935</v>
      </c>
      <c r="D461" s="306">
        <f t="shared" ca="1" si="211"/>
        <v>-0.59499046955306312</v>
      </c>
      <c r="E461" s="307">
        <f t="shared" ca="1" si="212"/>
        <v>-1.5275308469921605</v>
      </c>
      <c r="F461" s="304">
        <f t="shared" ca="1" si="213"/>
        <v>1.6393181958886327</v>
      </c>
      <c r="G461" s="306">
        <f t="shared" ca="1" si="214"/>
        <v>3.7474503086863402</v>
      </c>
      <c r="H461" s="307">
        <f t="shared" ca="1" si="215"/>
        <v>-52.166760407255282</v>
      </c>
      <c r="I461" s="304">
        <f t="shared" ca="1" si="216"/>
        <v>52.301188085970388</v>
      </c>
      <c r="J461" s="306">
        <f t="shared" ca="1" si="217"/>
        <v>150.09587023194715</v>
      </c>
      <c r="K461" s="307">
        <f t="shared" ca="1" si="218"/>
        <v>-3.4291878273152627</v>
      </c>
      <c r="L461" s="304">
        <f t="shared" ca="1" si="203"/>
        <v>150.13503784873311</v>
      </c>
      <c r="M461" s="306">
        <f t="shared" ca="1" si="219"/>
        <v>-1.4990835341863613</v>
      </c>
      <c r="N461" s="304">
        <f t="shared" ca="1" si="220"/>
        <v>-85.891159646433962</v>
      </c>
      <c r="P461" s="310">
        <f t="shared" ca="1" si="221"/>
        <v>23</v>
      </c>
      <c r="Q461" s="304">
        <f t="shared" ca="1" si="222"/>
        <v>0</v>
      </c>
      <c r="R461" s="306">
        <f t="shared" ca="1" si="223"/>
        <v>0</v>
      </c>
      <c r="S461" s="307">
        <f t="shared" ca="1" si="224"/>
        <v>0.4270000000000001</v>
      </c>
      <c r="T461" s="304">
        <f t="shared" ca="1" si="204"/>
        <v>4.1888700000000014</v>
      </c>
      <c r="U461" s="311">
        <f t="shared" ca="1" si="205"/>
        <v>0</v>
      </c>
      <c r="V461" s="306">
        <f t="shared" ca="1" si="206"/>
        <v>1.2254201475470889</v>
      </c>
      <c r="W461" s="304">
        <f t="shared" ca="1" si="207"/>
        <v>3.5457500448721815</v>
      </c>
      <c r="Y461" s="314" t="str">
        <f t="shared" ca="1" si="225"/>
        <v/>
      </c>
      <c r="Z461" s="315" t="str">
        <f t="shared" ca="1" si="226"/>
        <v/>
      </c>
      <c r="AA461" s="316" t="str">
        <f t="shared" ca="1" si="227"/>
        <v/>
      </c>
      <c r="AC461" s="310" t="e">
        <f t="shared" ca="1" si="228"/>
        <v>#N/A</v>
      </c>
      <c r="AD461" s="323" t="e">
        <f t="shared" ca="1" si="229"/>
        <v>#N/A</v>
      </c>
      <c r="AE461" s="324" t="e">
        <f t="shared" ca="1" si="208"/>
        <v>#N/A</v>
      </c>
      <c r="AG461" s="306">
        <f t="shared" ca="1" si="230"/>
        <v>1.4809718845210096</v>
      </c>
      <c r="AH461" s="304">
        <f t="shared" ca="1" si="231"/>
        <v>-8.3038129151243147</v>
      </c>
    </row>
    <row r="462" spans="1:34" x14ac:dyDescent="0.3">
      <c r="A462" s="347">
        <f t="shared" ca="1" si="209"/>
        <v>1E-4</v>
      </c>
      <c r="B462" s="304">
        <f t="shared" ca="1" si="210"/>
        <v>16.111699999999935</v>
      </c>
      <c r="D462" s="306">
        <f t="shared" ca="1" si="211"/>
        <v>-0.59498301806520448</v>
      </c>
      <c r="E462" s="307">
        <f t="shared" ca="1" si="212"/>
        <v>-1.5274788207735952</v>
      </c>
      <c r="F462" s="304">
        <f t="shared" ca="1" si="213"/>
        <v>1.6392670129353157</v>
      </c>
      <c r="G462" s="306">
        <f t="shared" ca="1" si="214"/>
        <v>3.7473908103845335</v>
      </c>
      <c r="H462" s="307">
        <f t="shared" ca="1" si="215"/>
        <v>-52.166913155137358</v>
      </c>
      <c r="I462" s="304">
        <f t="shared" ca="1" si="216"/>
        <v>52.301336178164675</v>
      </c>
      <c r="J462" s="306">
        <f t="shared" ca="1" si="217"/>
        <v>150.09587023194715</v>
      </c>
      <c r="K462" s="307">
        <f t="shared" ca="1" si="218"/>
        <v>-3.4344045109933825</v>
      </c>
      <c r="L462" s="304">
        <f t="shared" ca="1" si="203"/>
        <v>150.13515709197046</v>
      </c>
      <c r="M462" s="306">
        <f t="shared" ca="1" si="219"/>
        <v>-1.4990848781284387</v>
      </c>
      <c r="N462" s="304">
        <f t="shared" ca="1" si="220"/>
        <v>-85.891236648642916</v>
      </c>
      <c r="P462" s="310">
        <f t="shared" ca="1" si="221"/>
        <v>23</v>
      </c>
      <c r="Q462" s="304">
        <f t="shared" ca="1" si="222"/>
        <v>0</v>
      </c>
      <c r="R462" s="306">
        <f t="shared" ca="1" si="223"/>
        <v>0</v>
      </c>
      <c r="S462" s="307">
        <f t="shared" ca="1" si="224"/>
        <v>0.4270000000000001</v>
      </c>
      <c r="T462" s="304">
        <f t="shared" ca="1" si="204"/>
        <v>4.1888700000000014</v>
      </c>
      <c r="U462" s="311">
        <f t="shared" ca="1" si="205"/>
        <v>0</v>
      </c>
      <c r="V462" s="306">
        <f t="shared" ca="1" si="206"/>
        <v>1.2254207868102027</v>
      </c>
      <c r="W462" s="304">
        <f t="shared" ca="1" si="207"/>
        <v>3.5457719743869083</v>
      </c>
      <c r="Y462" s="314" t="str">
        <f t="shared" ca="1" si="225"/>
        <v/>
      </c>
      <c r="Z462" s="315" t="str">
        <f t="shared" ca="1" si="226"/>
        <v/>
      </c>
      <c r="AA462" s="316" t="str">
        <f t="shared" ca="1" si="227"/>
        <v/>
      </c>
      <c r="AC462" s="310" t="e">
        <f t="shared" ca="1" si="228"/>
        <v>#N/A</v>
      </c>
      <c r="AD462" s="323" t="e">
        <f t="shared" ca="1" si="229"/>
        <v>#N/A</v>
      </c>
      <c r="AE462" s="324" t="e">
        <f t="shared" ca="1" si="208"/>
        <v>#N/A</v>
      </c>
      <c r="AG462" s="306">
        <f t="shared" ca="1" si="230"/>
        <v>1.4809214706256011</v>
      </c>
      <c r="AH462" s="304">
        <f t="shared" ca="1" si="231"/>
        <v>-8.3038642737053419</v>
      </c>
    </row>
    <row r="463" spans="1:34" x14ac:dyDescent="0.3">
      <c r="A463" s="347">
        <f t="shared" ca="1" si="209"/>
        <v>1E-4</v>
      </c>
      <c r="B463" s="304">
        <f t="shared" ca="1" si="210"/>
        <v>16.111799999999935</v>
      </c>
      <c r="D463" s="306">
        <f t="shared" ca="1" si="211"/>
        <v>-0.59497556657777606</v>
      </c>
      <c r="E463" s="307">
        <f t="shared" ca="1" si="212"/>
        <v>-1.5274267959773962</v>
      </c>
      <c r="F463" s="304">
        <f t="shared" ca="1" si="213"/>
        <v>1.6392158313944871</v>
      </c>
      <c r="G463" s="306">
        <f t="shared" ca="1" si="214"/>
        <v>3.7473313128278756</v>
      </c>
      <c r="H463" s="307">
        <f t="shared" ca="1" si="215"/>
        <v>-52.167065897816954</v>
      </c>
      <c r="I463" s="304">
        <f t="shared" ca="1" si="216"/>
        <v>52.301484265317725</v>
      </c>
      <c r="J463" s="306">
        <f t="shared" ca="1" si="217"/>
        <v>150.09587023194715</v>
      </c>
      <c r="K463" s="307">
        <f t="shared" ca="1" si="218"/>
        <v>-3.4396212099460302</v>
      </c>
      <c r="L463" s="304">
        <f t="shared" ca="1" si="203"/>
        <v>150.13527651672484</v>
      </c>
      <c r="M463" s="306">
        <f t="shared" ca="1" si="219"/>
        <v>-1.4990862220415677</v>
      </c>
      <c r="N463" s="304">
        <f t="shared" ca="1" si="220"/>
        <v>-85.891313649193236</v>
      </c>
      <c r="P463" s="310">
        <f t="shared" ca="1" si="221"/>
        <v>23</v>
      </c>
      <c r="Q463" s="304">
        <f t="shared" ca="1" si="222"/>
        <v>0</v>
      </c>
      <c r="R463" s="306">
        <f t="shared" ca="1" si="223"/>
        <v>0</v>
      </c>
      <c r="S463" s="307">
        <f t="shared" ca="1" si="224"/>
        <v>0.4270000000000001</v>
      </c>
      <c r="T463" s="304">
        <f t="shared" ca="1" si="204"/>
        <v>4.1888700000000014</v>
      </c>
      <c r="U463" s="311">
        <f t="shared" ca="1" si="205"/>
        <v>0</v>
      </c>
      <c r="V463" s="306">
        <f t="shared" ca="1" si="206"/>
        <v>1.2254214260755218</v>
      </c>
      <c r="W463" s="304">
        <f t="shared" ca="1" si="207"/>
        <v>3.5457939033022785</v>
      </c>
      <c r="Y463" s="314" t="str">
        <f t="shared" ca="1" si="225"/>
        <v/>
      </c>
      <c r="Z463" s="315" t="str">
        <f t="shared" ca="1" si="226"/>
        <v/>
      </c>
      <c r="AA463" s="316" t="str">
        <f t="shared" ca="1" si="227"/>
        <v/>
      </c>
      <c r="AC463" s="310" t="e">
        <f t="shared" ca="1" si="228"/>
        <v>#N/A</v>
      </c>
      <c r="AD463" s="323" t="e">
        <f t="shared" ca="1" si="229"/>
        <v>#N/A</v>
      </c>
      <c r="AE463" s="324" t="e">
        <f t="shared" ca="1" si="208"/>
        <v>#N/A</v>
      </c>
      <c r="AG463" s="306">
        <f t="shared" ca="1" si="230"/>
        <v>1.4808710580958522</v>
      </c>
      <c r="AH463" s="304">
        <f t="shared" ca="1" si="231"/>
        <v>-8.3039156308826865</v>
      </c>
    </row>
    <row r="464" spans="1:34" x14ac:dyDescent="0.3">
      <c r="A464" s="347">
        <f t="shared" ca="1" si="209"/>
        <v>1E-4</v>
      </c>
      <c r="B464" s="304">
        <f t="shared" ca="1" si="210"/>
        <v>16.111899999999935</v>
      </c>
      <c r="D464" s="306">
        <f t="shared" ca="1" si="211"/>
        <v>-0.59496811509078518</v>
      </c>
      <c r="E464" s="307">
        <f t="shared" ca="1" si="212"/>
        <v>-1.5273747726035278</v>
      </c>
      <c r="F464" s="304">
        <f t="shared" ca="1" si="213"/>
        <v>1.6391646512661138</v>
      </c>
      <c r="G464" s="306">
        <f t="shared" ca="1" si="214"/>
        <v>3.7472718160163665</v>
      </c>
      <c r="H464" s="307">
        <f t="shared" ca="1" si="215"/>
        <v>-52.167218635294212</v>
      </c>
      <c r="I464" s="304">
        <f t="shared" ca="1" si="216"/>
        <v>52.301632347429639</v>
      </c>
      <c r="J464" s="306">
        <f t="shared" ca="1" si="217"/>
        <v>150.09587023194715</v>
      </c>
      <c r="K464" s="307">
        <f t="shared" ca="1" si="218"/>
        <v>-3.4448379241726856</v>
      </c>
      <c r="L464" s="304">
        <f t="shared" ca="1" si="203"/>
        <v>150.13539612299738</v>
      </c>
      <c r="M464" s="306">
        <f t="shared" ca="1" si="219"/>
        <v>-1.4990875659257494</v>
      </c>
      <c r="N464" s="304">
        <f t="shared" ca="1" si="220"/>
        <v>-85.891390648085007</v>
      </c>
      <c r="P464" s="310">
        <f t="shared" ca="1" si="221"/>
        <v>23</v>
      </c>
      <c r="Q464" s="304">
        <f t="shared" ca="1" si="222"/>
        <v>0</v>
      </c>
      <c r="R464" s="306">
        <f t="shared" ca="1" si="223"/>
        <v>0</v>
      </c>
      <c r="S464" s="307">
        <f t="shared" ca="1" si="224"/>
        <v>0.4270000000000001</v>
      </c>
      <c r="T464" s="304">
        <f t="shared" ca="1" si="204"/>
        <v>4.1888700000000014</v>
      </c>
      <c r="U464" s="311">
        <f t="shared" ca="1" si="205"/>
        <v>0</v>
      </c>
      <c r="V464" s="306">
        <f t="shared" ca="1" si="206"/>
        <v>1.2254220653430463</v>
      </c>
      <c r="W464" s="304">
        <f t="shared" ca="1" si="207"/>
        <v>3.5458158316182988</v>
      </c>
      <c r="Y464" s="314" t="str">
        <f t="shared" ca="1" si="225"/>
        <v/>
      </c>
      <c r="Z464" s="315" t="str">
        <f t="shared" ca="1" si="226"/>
        <v/>
      </c>
      <c r="AA464" s="316" t="str">
        <f t="shared" ca="1" si="227"/>
        <v/>
      </c>
      <c r="AC464" s="310" t="e">
        <f t="shared" ca="1" si="228"/>
        <v>#N/A</v>
      </c>
      <c r="AD464" s="323" t="e">
        <f t="shared" ca="1" si="229"/>
        <v>#N/A</v>
      </c>
      <c r="AE464" s="324" t="e">
        <f t="shared" ca="1" si="208"/>
        <v>#N/A</v>
      </c>
      <c r="AG464" s="306">
        <f t="shared" ca="1" si="230"/>
        <v>1.4808206469317309</v>
      </c>
      <c r="AH464" s="304">
        <f t="shared" ca="1" si="231"/>
        <v>-8.3039669866563877</v>
      </c>
    </row>
    <row r="465" spans="1:34" x14ac:dyDescent="0.3">
      <c r="A465" s="347">
        <f t="shared" ca="1" si="209"/>
        <v>1E-4</v>
      </c>
      <c r="B465" s="304">
        <f t="shared" ca="1" si="210"/>
        <v>16.111999999999934</v>
      </c>
      <c r="D465" s="306">
        <f t="shared" ca="1" si="211"/>
        <v>-0.59496066360423394</v>
      </c>
      <c r="E465" s="307">
        <f t="shared" ca="1" si="212"/>
        <v>-1.5273227506519707</v>
      </c>
      <c r="F465" s="304">
        <f t="shared" ca="1" si="213"/>
        <v>1.6391134725501746</v>
      </c>
      <c r="G465" s="306">
        <f t="shared" ca="1" si="214"/>
        <v>3.7472123199500063</v>
      </c>
      <c r="H465" s="307">
        <f t="shared" ca="1" si="215"/>
        <v>-52.167371367569274</v>
      </c>
      <c r="I465" s="304">
        <f t="shared" ca="1" si="216"/>
        <v>52.301780424500578</v>
      </c>
      <c r="J465" s="306">
        <f t="shared" ca="1" si="217"/>
        <v>150.09587023194715</v>
      </c>
      <c r="K465" s="307">
        <f t="shared" ca="1" si="218"/>
        <v>-3.4500546536728289</v>
      </c>
      <c r="L465" s="304">
        <f t="shared" ca="1" si="203"/>
        <v>150.13551591078922</v>
      </c>
      <c r="M465" s="306">
        <f t="shared" ca="1" si="219"/>
        <v>-1.4990889097809843</v>
      </c>
      <c r="N465" s="304">
        <f t="shared" ca="1" si="220"/>
        <v>-85.89146764531823</v>
      </c>
      <c r="P465" s="310">
        <f t="shared" ca="1" si="221"/>
        <v>23</v>
      </c>
      <c r="Q465" s="304">
        <f t="shared" ca="1" si="222"/>
        <v>0</v>
      </c>
      <c r="R465" s="306">
        <f t="shared" ca="1" si="223"/>
        <v>0</v>
      </c>
      <c r="S465" s="307">
        <f t="shared" ca="1" si="224"/>
        <v>0.4270000000000001</v>
      </c>
      <c r="T465" s="304">
        <f t="shared" ca="1" si="204"/>
        <v>4.1888700000000014</v>
      </c>
      <c r="U465" s="311">
        <f t="shared" ca="1" si="205"/>
        <v>0</v>
      </c>
      <c r="V465" s="306">
        <f t="shared" ca="1" si="206"/>
        <v>1.2254227046127757</v>
      </c>
      <c r="W465" s="304">
        <f t="shared" ca="1" si="207"/>
        <v>3.5458377593349835</v>
      </c>
      <c r="Y465" s="314" t="str">
        <f t="shared" ca="1" si="225"/>
        <v/>
      </c>
      <c r="Z465" s="315" t="str">
        <f t="shared" ca="1" si="226"/>
        <v/>
      </c>
      <c r="AA465" s="316" t="str">
        <f t="shared" ca="1" si="227"/>
        <v/>
      </c>
      <c r="AC465" s="310" t="e">
        <f t="shared" ca="1" si="228"/>
        <v>#N/A</v>
      </c>
      <c r="AD465" s="323" t="e">
        <f t="shared" ca="1" si="229"/>
        <v>#N/A</v>
      </c>
      <c r="AE465" s="324" t="e">
        <f t="shared" ca="1" si="208"/>
        <v>#N/A</v>
      </c>
      <c r="AG465" s="306">
        <f t="shared" ca="1" si="230"/>
        <v>1.4807702371332194</v>
      </c>
      <c r="AH465" s="304">
        <f t="shared" ca="1" si="231"/>
        <v>-8.3040183410264596</v>
      </c>
    </row>
    <row r="466" spans="1:34" x14ac:dyDescent="0.3">
      <c r="A466" s="347">
        <f t="shared" ca="1" si="209"/>
        <v>1E-4</v>
      </c>
      <c r="B466" s="304">
        <f t="shared" ca="1" si="210"/>
        <v>16.112099999999934</v>
      </c>
      <c r="D466" s="306">
        <f t="shared" ca="1" si="211"/>
        <v>-0.59495321211813101</v>
      </c>
      <c r="E466" s="307">
        <f t="shared" ca="1" si="212"/>
        <v>-1.5272707301226962</v>
      </c>
      <c r="F466" s="304">
        <f t="shared" ca="1" si="213"/>
        <v>1.6390622952466436</v>
      </c>
      <c r="G466" s="306">
        <f t="shared" ca="1" si="214"/>
        <v>3.7471528246287944</v>
      </c>
      <c r="H466" s="307">
        <f t="shared" ca="1" si="215"/>
        <v>-52.167524094642289</v>
      </c>
      <c r="I466" s="304">
        <f t="shared" ca="1" si="216"/>
        <v>52.301928496530671</v>
      </c>
      <c r="J466" s="306">
        <f t="shared" ca="1" si="217"/>
        <v>150.09587023194715</v>
      </c>
      <c r="K466" s="307">
        <f t="shared" ca="1" si="218"/>
        <v>-3.4552713984459396</v>
      </c>
      <c r="L466" s="304">
        <f t="shared" ca="1" si="203"/>
        <v>150.13563588010155</v>
      </c>
      <c r="M466" s="306">
        <f t="shared" ca="1" si="219"/>
        <v>-1.4990902536072734</v>
      </c>
      <c r="N466" s="304">
        <f t="shared" ca="1" si="220"/>
        <v>-85.891544640893002</v>
      </c>
      <c r="P466" s="310">
        <f t="shared" ca="1" si="221"/>
        <v>23</v>
      </c>
      <c r="Q466" s="304">
        <f t="shared" ca="1" si="222"/>
        <v>0</v>
      </c>
      <c r="R466" s="306">
        <f t="shared" ca="1" si="223"/>
        <v>0</v>
      </c>
      <c r="S466" s="307">
        <f t="shared" ca="1" si="224"/>
        <v>0.4270000000000001</v>
      </c>
      <c r="T466" s="304">
        <f t="shared" ca="1" si="204"/>
        <v>4.1888700000000014</v>
      </c>
      <c r="U466" s="311">
        <f t="shared" ca="1" si="205"/>
        <v>0</v>
      </c>
      <c r="V466" s="306">
        <f t="shared" ca="1" si="206"/>
        <v>1.2254233438847104</v>
      </c>
      <c r="W466" s="304">
        <f t="shared" ca="1" si="207"/>
        <v>3.5458596864523457</v>
      </c>
      <c r="Y466" s="314" t="str">
        <f t="shared" ca="1" si="225"/>
        <v/>
      </c>
      <c r="Z466" s="315" t="str">
        <f t="shared" ca="1" si="226"/>
        <v/>
      </c>
      <c r="AA466" s="316" t="str">
        <f t="shared" ca="1" si="227"/>
        <v/>
      </c>
      <c r="AC466" s="310" t="e">
        <f t="shared" ca="1" si="228"/>
        <v>#N/A</v>
      </c>
      <c r="AD466" s="323" t="e">
        <f t="shared" ca="1" si="229"/>
        <v>#N/A</v>
      </c>
      <c r="AE466" s="324" t="e">
        <f t="shared" ca="1" si="208"/>
        <v>#N/A</v>
      </c>
      <c r="AG466" s="306">
        <f t="shared" ca="1" si="230"/>
        <v>1.4807198287002858</v>
      </c>
      <c r="AH466" s="304">
        <f t="shared" ca="1" si="231"/>
        <v>-8.3040696939929344</v>
      </c>
    </row>
    <row r="467" spans="1:34" x14ac:dyDescent="0.3">
      <c r="A467" s="347">
        <f t="shared" ca="1" si="209"/>
        <v>1E-4</v>
      </c>
      <c r="B467" s="304">
        <f t="shared" ca="1" si="210"/>
        <v>16.112199999999934</v>
      </c>
      <c r="D467" s="306">
        <f t="shared" ca="1" si="211"/>
        <v>-0.59494576063247961</v>
      </c>
      <c r="E467" s="307">
        <f t="shared" ca="1" si="212"/>
        <v>-1.5272187110156725</v>
      </c>
      <c r="F467" s="304">
        <f t="shared" ca="1" si="213"/>
        <v>1.6390111193554888</v>
      </c>
      <c r="G467" s="306">
        <f t="shared" ca="1" si="214"/>
        <v>3.7470933300527309</v>
      </c>
      <c r="H467" s="307">
        <f t="shared" ca="1" si="215"/>
        <v>-52.167676816513392</v>
      </c>
      <c r="I467" s="304">
        <f t="shared" ca="1" si="216"/>
        <v>52.30207656352006</v>
      </c>
      <c r="J467" s="306">
        <f t="shared" ca="1" si="217"/>
        <v>150.09587023194715</v>
      </c>
      <c r="K467" s="307">
        <f t="shared" ca="1" si="218"/>
        <v>-3.4604881584914975</v>
      </c>
      <c r="L467" s="304">
        <f t="shared" ca="1" si="203"/>
        <v>150.13575603093548</v>
      </c>
      <c r="M467" s="306">
        <f t="shared" ca="1" si="219"/>
        <v>-1.4990915974046177</v>
      </c>
      <c r="N467" s="304">
        <f t="shared" ca="1" si="220"/>
        <v>-85.891621634809354</v>
      </c>
      <c r="P467" s="310">
        <f t="shared" ca="1" si="221"/>
        <v>23</v>
      </c>
      <c r="Q467" s="304">
        <f t="shared" ca="1" si="222"/>
        <v>0</v>
      </c>
      <c r="R467" s="306">
        <f t="shared" ca="1" si="223"/>
        <v>0</v>
      </c>
      <c r="S467" s="307">
        <f t="shared" ca="1" si="224"/>
        <v>0.4270000000000001</v>
      </c>
      <c r="T467" s="304">
        <f t="shared" ca="1" si="204"/>
        <v>4.1888700000000014</v>
      </c>
      <c r="U467" s="311">
        <f t="shared" ca="1" si="205"/>
        <v>0</v>
      </c>
      <c r="V467" s="306">
        <f t="shared" ca="1" si="206"/>
        <v>1.2254239831588505</v>
      </c>
      <c r="W467" s="304">
        <f t="shared" ca="1" si="207"/>
        <v>3.5458816129703954</v>
      </c>
      <c r="Y467" s="314" t="str">
        <f t="shared" ca="1" si="225"/>
        <v/>
      </c>
      <c r="Z467" s="315" t="str">
        <f t="shared" ca="1" si="226"/>
        <v/>
      </c>
      <c r="AA467" s="316" t="str">
        <f t="shared" ca="1" si="227"/>
        <v/>
      </c>
      <c r="AC467" s="310" t="e">
        <f t="shared" ca="1" si="228"/>
        <v>#N/A</v>
      </c>
      <c r="AD467" s="323" t="e">
        <f t="shared" ca="1" si="229"/>
        <v>#N/A</v>
      </c>
      <c r="AE467" s="324" t="e">
        <f t="shared" ca="1" si="208"/>
        <v>#N/A</v>
      </c>
      <c r="AG467" s="306">
        <f t="shared" ca="1" si="230"/>
        <v>1.480669421632907</v>
      </c>
      <c r="AH467" s="304">
        <f t="shared" ca="1" si="231"/>
        <v>-8.3041210455558421</v>
      </c>
    </row>
    <row r="468" spans="1:34" x14ac:dyDescent="0.3">
      <c r="A468" s="347">
        <f t="shared" ca="1" si="209"/>
        <v>1E-4</v>
      </c>
      <c r="B468" s="304">
        <f t="shared" ca="1" si="210"/>
        <v>16.112299999999934</v>
      </c>
      <c r="D468" s="306">
        <f t="shared" ca="1" si="211"/>
        <v>-0.59493830914728429</v>
      </c>
      <c r="E468" s="307">
        <f t="shared" ca="1" si="212"/>
        <v>-1.527166693330873</v>
      </c>
      <c r="F468" s="304">
        <f t="shared" ca="1" si="213"/>
        <v>1.6389599448766836</v>
      </c>
      <c r="G468" s="306">
        <f t="shared" ca="1" si="214"/>
        <v>3.7470338362218163</v>
      </c>
      <c r="H468" s="307">
        <f t="shared" ca="1" si="215"/>
        <v>-52.167829533182726</v>
      </c>
      <c r="I468" s="304">
        <f t="shared" ca="1" si="216"/>
        <v>52.302224625468874</v>
      </c>
      <c r="J468" s="306">
        <f t="shared" ca="1" si="217"/>
        <v>150.09587023194715</v>
      </c>
      <c r="K468" s="307">
        <f t="shared" ca="1" si="218"/>
        <v>-3.4657049338089823</v>
      </c>
      <c r="L468" s="304">
        <f t="shared" ca="1" si="203"/>
        <v>150.13587636329214</v>
      </c>
      <c r="M468" s="306">
        <f t="shared" ca="1" si="219"/>
        <v>-1.4990929411730176</v>
      </c>
      <c r="N468" s="304">
        <f t="shared" ca="1" si="220"/>
        <v>-85.891698627067299</v>
      </c>
      <c r="P468" s="310">
        <f t="shared" ca="1" si="221"/>
        <v>23</v>
      </c>
      <c r="Q468" s="304">
        <f t="shared" ca="1" si="222"/>
        <v>0</v>
      </c>
      <c r="R468" s="306">
        <f t="shared" ca="1" si="223"/>
        <v>0</v>
      </c>
      <c r="S468" s="307">
        <f t="shared" ca="1" si="224"/>
        <v>0.4270000000000001</v>
      </c>
      <c r="T468" s="304">
        <f t="shared" ca="1" si="204"/>
        <v>4.1888700000000014</v>
      </c>
      <c r="U468" s="311">
        <f t="shared" ca="1" si="205"/>
        <v>0</v>
      </c>
      <c r="V468" s="306">
        <f t="shared" ca="1" si="206"/>
        <v>1.2254246224351952</v>
      </c>
      <c r="W468" s="304">
        <f t="shared" ca="1" si="207"/>
        <v>3.545903538889144</v>
      </c>
      <c r="Y468" s="314" t="str">
        <f t="shared" ca="1" si="225"/>
        <v/>
      </c>
      <c r="Z468" s="315" t="str">
        <f t="shared" ca="1" si="226"/>
        <v/>
      </c>
      <c r="AA468" s="316" t="str">
        <f t="shared" ca="1" si="227"/>
        <v/>
      </c>
      <c r="AC468" s="310" t="e">
        <f t="shared" ca="1" si="228"/>
        <v>#N/A</v>
      </c>
      <c r="AD468" s="323" t="e">
        <f t="shared" ca="1" si="229"/>
        <v>#N/A</v>
      </c>
      <c r="AE468" s="324" t="e">
        <f t="shared" ca="1" si="208"/>
        <v>#N/A</v>
      </c>
      <c r="AG468" s="306">
        <f t="shared" ca="1" si="230"/>
        <v>1.4806190159310528</v>
      </c>
      <c r="AH468" s="304">
        <f t="shared" ca="1" si="231"/>
        <v>-8.3041723957152094</v>
      </c>
    </row>
    <row r="469" spans="1:34" x14ac:dyDescent="0.3">
      <c r="A469" s="347">
        <f t="shared" ca="1" si="209"/>
        <v>1E-4</v>
      </c>
      <c r="B469" s="304">
        <f t="shared" ca="1" si="210"/>
        <v>16.112399999999933</v>
      </c>
      <c r="D469" s="306">
        <f t="shared" ca="1" si="211"/>
        <v>-0.59493085766255349</v>
      </c>
      <c r="E469" s="307">
        <f t="shared" ca="1" si="212"/>
        <v>-1.5271146770682709</v>
      </c>
      <c r="F469" s="304">
        <f t="shared" ca="1" si="213"/>
        <v>1.6389087718102038</v>
      </c>
      <c r="G469" s="306">
        <f t="shared" ca="1" si="214"/>
        <v>3.74697434313605</v>
      </c>
      <c r="H469" s="307">
        <f t="shared" ca="1" si="215"/>
        <v>-52.167982244650432</v>
      </c>
      <c r="I469" s="304">
        <f t="shared" ca="1" si="216"/>
        <v>52.302372682377261</v>
      </c>
      <c r="J469" s="306">
        <f t="shared" ca="1" si="217"/>
        <v>150.09587023194715</v>
      </c>
      <c r="K469" s="307">
        <f t="shared" ca="1" si="218"/>
        <v>-3.4709217243978738</v>
      </c>
      <c r="L469" s="304">
        <f t="shared" ca="1" si="203"/>
        <v>150.13599687717272</v>
      </c>
      <c r="M469" s="306">
        <f t="shared" ca="1" si="219"/>
        <v>-1.4990942849124744</v>
      </c>
      <c r="N469" s="304">
        <f t="shared" ca="1" si="220"/>
        <v>-85.891775617666951</v>
      </c>
      <c r="P469" s="310">
        <f t="shared" ca="1" si="221"/>
        <v>23</v>
      </c>
      <c r="Q469" s="304">
        <f t="shared" ca="1" si="222"/>
        <v>0</v>
      </c>
      <c r="R469" s="306">
        <f t="shared" ca="1" si="223"/>
        <v>0</v>
      </c>
      <c r="S469" s="307">
        <f t="shared" ca="1" si="224"/>
        <v>0.4270000000000001</v>
      </c>
      <c r="T469" s="304">
        <f t="shared" ca="1" si="204"/>
        <v>4.1888700000000014</v>
      </c>
      <c r="U469" s="311">
        <f t="shared" ca="1" si="205"/>
        <v>0</v>
      </c>
      <c r="V469" s="306">
        <f t="shared" ca="1" si="206"/>
        <v>1.2254252617137449</v>
      </c>
      <c r="W469" s="304">
        <f t="shared" ca="1" si="207"/>
        <v>3.545925464208604</v>
      </c>
      <c r="Y469" s="314" t="str">
        <f t="shared" ca="1" si="225"/>
        <v/>
      </c>
      <c r="Z469" s="315" t="str">
        <f t="shared" ca="1" si="226"/>
        <v/>
      </c>
      <c r="AA469" s="316" t="str">
        <f t="shared" ca="1" si="227"/>
        <v/>
      </c>
      <c r="AC469" s="310" t="e">
        <f t="shared" ca="1" si="228"/>
        <v>#N/A</v>
      </c>
      <c r="AD469" s="323" t="e">
        <f t="shared" ca="1" si="229"/>
        <v>#N/A</v>
      </c>
      <c r="AE469" s="324" t="e">
        <f t="shared" ca="1" si="208"/>
        <v>#N/A</v>
      </c>
      <c r="AG469" s="306">
        <f t="shared" ca="1" si="230"/>
        <v>1.4805686115947054</v>
      </c>
      <c r="AH469" s="304">
        <f t="shared" ca="1" si="231"/>
        <v>-8.3042237444710612</v>
      </c>
    </row>
    <row r="470" spans="1:34" x14ac:dyDescent="0.3">
      <c r="A470" s="347">
        <f t="shared" ca="1" si="209"/>
        <v>1E-4</v>
      </c>
      <c r="B470" s="304">
        <f t="shared" ca="1" si="210"/>
        <v>16.112499999999933</v>
      </c>
      <c r="D470" s="306">
        <f t="shared" ca="1" si="211"/>
        <v>-0.59492340617828832</v>
      </c>
      <c r="E470" s="307">
        <f t="shared" ca="1" si="212"/>
        <v>-1.5270626622278378</v>
      </c>
      <c r="F470" s="304">
        <f t="shared" ca="1" si="213"/>
        <v>1.6388576001560196</v>
      </c>
      <c r="G470" s="306">
        <f t="shared" ca="1" si="214"/>
        <v>3.7469148507954322</v>
      </c>
      <c r="H470" s="307">
        <f t="shared" ca="1" si="215"/>
        <v>-52.168134950916652</v>
      </c>
      <c r="I470" s="304">
        <f t="shared" ca="1" si="216"/>
        <v>52.302520734245334</v>
      </c>
      <c r="J470" s="306">
        <f t="shared" ca="1" si="217"/>
        <v>150.09587023194715</v>
      </c>
      <c r="K470" s="307">
        <f t="shared" ca="1" si="218"/>
        <v>-3.4761385302576522</v>
      </c>
      <c r="L470" s="304">
        <f t="shared" ca="1" si="203"/>
        <v>150.13611757257831</v>
      </c>
      <c r="M470" s="306">
        <f t="shared" ca="1" si="219"/>
        <v>-1.4990956286229886</v>
      </c>
      <c r="N470" s="304">
        <f t="shared" ca="1" si="220"/>
        <v>-85.891852606608296</v>
      </c>
      <c r="P470" s="310">
        <f t="shared" ca="1" si="221"/>
        <v>23</v>
      </c>
      <c r="Q470" s="304">
        <f t="shared" ca="1" si="222"/>
        <v>0</v>
      </c>
      <c r="R470" s="306">
        <f t="shared" ca="1" si="223"/>
        <v>0</v>
      </c>
      <c r="S470" s="307">
        <f t="shared" ca="1" si="224"/>
        <v>0.4270000000000001</v>
      </c>
      <c r="T470" s="304">
        <f t="shared" ca="1" si="204"/>
        <v>4.1888700000000014</v>
      </c>
      <c r="U470" s="311">
        <f t="shared" ca="1" si="205"/>
        <v>0</v>
      </c>
      <c r="V470" s="306">
        <f t="shared" ca="1" si="206"/>
        <v>1.2254259009944997</v>
      </c>
      <c r="W470" s="304">
        <f t="shared" ca="1" si="207"/>
        <v>3.5459473889287869</v>
      </c>
      <c r="Y470" s="314" t="str">
        <f t="shared" ca="1" si="225"/>
        <v/>
      </c>
      <c r="Z470" s="315" t="str">
        <f t="shared" ca="1" si="226"/>
        <v/>
      </c>
      <c r="AA470" s="316" t="str">
        <f t="shared" ca="1" si="227"/>
        <v/>
      </c>
      <c r="AC470" s="310" t="e">
        <f t="shared" ca="1" si="228"/>
        <v>#N/A</v>
      </c>
      <c r="AD470" s="323" t="e">
        <f t="shared" ca="1" si="229"/>
        <v>#N/A</v>
      </c>
      <c r="AE470" s="324" t="e">
        <f t="shared" ca="1" si="208"/>
        <v>#N/A</v>
      </c>
      <c r="AG470" s="306">
        <f t="shared" ca="1" si="230"/>
        <v>1.4805182086238347</v>
      </c>
      <c r="AH470" s="304">
        <f t="shared" ca="1" si="231"/>
        <v>-8.3042750918234258</v>
      </c>
    </row>
    <row r="471" spans="1:34" x14ac:dyDescent="0.3">
      <c r="A471" s="347">
        <f t="shared" ca="1" si="209"/>
        <v>1E-4</v>
      </c>
      <c r="B471" s="304">
        <f t="shared" ca="1" si="210"/>
        <v>16.112599999999933</v>
      </c>
      <c r="D471" s="306">
        <f t="shared" ca="1" si="211"/>
        <v>-0.59491595469449732</v>
      </c>
      <c r="E471" s="307">
        <f t="shared" ca="1" si="212"/>
        <v>-1.5270106488095454</v>
      </c>
      <c r="F471" s="304">
        <f t="shared" ca="1" si="213"/>
        <v>1.6388064299141047</v>
      </c>
      <c r="G471" s="306">
        <f t="shared" ca="1" si="214"/>
        <v>3.7468553591999627</v>
      </c>
      <c r="H471" s="307">
        <f t="shared" ca="1" si="215"/>
        <v>-52.168287651981537</v>
      </c>
      <c r="I471" s="304">
        <f t="shared" ca="1" si="216"/>
        <v>52.302668781073258</v>
      </c>
      <c r="J471" s="306">
        <f t="shared" ca="1" si="217"/>
        <v>150.09587023194715</v>
      </c>
      <c r="K471" s="307">
        <f t="shared" ca="1" si="218"/>
        <v>-3.4813553513877973</v>
      </c>
      <c r="L471" s="304">
        <f t="shared" ca="1" si="203"/>
        <v>150.1362384495101</v>
      </c>
      <c r="M471" s="306">
        <f t="shared" ca="1" si="219"/>
        <v>-1.4990969723045613</v>
      </c>
      <c r="N471" s="304">
        <f t="shared" ca="1" si="220"/>
        <v>-85.891929593891419</v>
      </c>
      <c r="P471" s="310">
        <f t="shared" ca="1" si="221"/>
        <v>23</v>
      </c>
      <c r="Q471" s="304">
        <f t="shared" ca="1" si="222"/>
        <v>0</v>
      </c>
      <c r="R471" s="306">
        <f t="shared" ca="1" si="223"/>
        <v>0</v>
      </c>
      <c r="S471" s="307">
        <f t="shared" ca="1" si="224"/>
        <v>0.4270000000000001</v>
      </c>
      <c r="T471" s="304">
        <f t="shared" ca="1" si="204"/>
        <v>4.1888700000000014</v>
      </c>
      <c r="U471" s="311">
        <f t="shared" ca="1" si="205"/>
        <v>0</v>
      </c>
      <c r="V471" s="306">
        <f t="shared" ca="1" si="206"/>
        <v>1.2254265402774591</v>
      </c>
      <c r="W471" s="304">
        <f t="shared" ca="1" si="207"/>
        <v>3.5459693130497043</v>
      </c>
      <c r="Y471" s="314" t="str">
        <f t="shared" ca="1" si="225"/>
        <v/>
      </c>
      <c r="Z471" s="315" t="str">
        <f t="shared" ca="1" si="226"/>
        <v/>
      </c>
      <c r="AA471" s="316" t="str">
        <f t="shared" ca="1" si="227"/>
        <v/>
      </c>
      <c r="AC471" s="310" t="e">
        <f t="shared" ca="1" si="228"/>
        <v>#N/A</v>
      </c>
      <c r="AD471" s="323" t="e">
        <f t="shared" ca="1" si="229"/>
        <v>#N/A</v>
      </c>
      <c r="AE471" s="324" t="e">
        <f t="shared" ca="1" si="208"/>
        <v>#N/A</v>
      </c>
      <c r="AG471" s="306">
        <f t="shared" ca="1" si="230"/>
        <v>1.4804678070184121</v>
      </c>
      <c r="AH471" s="304">
        <f t="shared" ca="1" si="231"/>
        <v>-8.3043264377723336</v>
      </c>
    </row>
    <row r="472" spans="1:34" x14ac:dyDescent="0.3">
      <c r="A472" s="347">
        <f t="shared" ca="1" si="209"/>
        <v>1E-4</v>
      </c>
      <c r="B472" s="304">
        <f t="shared" ca="1" si="210"/>
        <v>16.112699999999933</v>
      </c>
      <c r="D472" s="306">
        <f t="shared" ca="1" si="211"/>
        <v>-0.59490850321118327</v>
      </c>
      <c r="E472" s="307">
        <f t="shared" ca="1" si="212"/>
        <v>-1.5269586368133687</v>
      </c>
      <c r="F472" s="304">
        <f t="shared" ca="1" si="213"/>
        <v>1.638755261084434</v>
      </c>
      <c r="G472" s="306">
        <f t="shared" ca="1" si="214"/>
        <v>3.7467958683496416</v>
      </c>
      <c r="H472" s="307">
        <f t="shared" ca="1" si="215"/>
        <v>-52.16844034784522</v>
      </c>
      <c r="I472" s="304">
        <f t="shared" ca="1" si="216"/>
        <v>52.302816822861146</v>
      </c>
      <c r="J472" s="306">
        <f t="shared" ca="1" si="217"/>
        <v>150.09587023194715</v>
      </c>
      <c r="K472" s="307">
        <f t="shared" ca="1" si="218"/>
        <v>-3.4865721877877887</v>
      </c>
      <c r="L472" s="304">
        <f t="shared" ca="1" si="203"/>
        <v>150.13635950796919</v>
      </c>
      <c r="M472" s="306">
        <f t="shared" ca="1" si="219"/>
        <v>-1.4990983159571931</v>
      </c>
      <c r="N472" s="304">
        <f t="shared" ca="1" si="220"/>
        <v>-85.892006579516362</v>
      </c>
      <c r="P472" s="310">
        <f t="shared" ca="1" si="221"/>
        <v>23</v>
      </c>
      <c r="Q472" s="304">
        <f t="shared" ca="1" si="222"/>
        <v>0</v>
      </c>
      <c r="R472" s="306">
        <f t="shared" ca="1" si="223"/>
        <v>0</v>
      </c>
      <c r="S472" s="307">
        <f t="shared" ca="1" si="224"/>
        <v>0.4270000000000001</v>
      </c>
      <c r="T472" s="304">
        <f t="shared" ca="1" si="204"/>
        <v>4.1888700000000014</v>
      </c>
      <c r="U472" s="311">
        <f t="shared" ca="1" si="205"/>
        <v>0</v>
      </c>
      <c r="V472" s="306">
        <f t="shared" ca="1" si="206"/>
        <v>1.225427179562623</v>
      </c>
      <c r="W472" s="304">
        <f t="shared" ca="1" si="207"/>
        <v>3.5459912365713655</v>
      </c>
      <c r="Y472" s="314" t="str">
        <f t="shared" ca="1" si="225"/>
        <v/>
      </c>
      <c r="Z472" s="315" t="str">
        <f t="shared" ca="1" si="226"/>
        <v/>
      </c>
      <c r="AA472" s="316" t="str">
        <f t="shared" ca="1" si="227"/>
        <v/>
      </c>
      <c r="AC472" s="310" t="e">
        <f t="shared" ca="1" si="228"/>
        <v>#N/A</v>
      </c>
      <c r="AD472" s="323" t="e">
        <f t="shared" ca="1" si="229"/>
        <v>#N/A</v>
      </c>
      <c r="AE472" s="324" t="e">
        <f t="shared" ca="1" si="208"/>
        <v>#N/A</v>
      </c>
      <c r="AG472" s="306">
        <f t="shared" ca="1" si="230"/>
        <v>1.4804174067784164</v>
      </c>
      <c r="AH472" s="304">
        <f t="shared" ca="1" si="231"/>
        <v>-8.3043777823178075</v>
      </c>
    </row>
    <row r="473" spans="1:34" x14ac:dyDescent="0.3">
      <c r="A473" s="347">
        <f t="shared" ca="1" si="209"/>
        <v>1E-4</v>
      </c>
      <c r="B473" s="304">
        <f t="shared" ca="1" si="210"/>
        <v>16.112799999999933</v>
      </c>
      <c r="D473" s="306">
        <f t="shared" ca="1" si="211"/>
        <v>-0.59490105172835239</v>
      </c>
      <c r="E473" s="307">
        <f t="shared" ca="1" si="212"/>
        <v>-1.526906626239283</v>
      </c>
      <c r="F473" s="304">
        <f t="shared" ca="1" si="213"/>
        <v>1.6387040936669832</v>
      </c>
      <c r="G473" s="306">
        <f t="shared" ca="1" si="214"/>
        <v>3.7467363782444689</v>
      </c>
      <c r="H473" s="307">
        <f t="shared" ca="1" si="215"/>
        <v>-52.168593038507844</v>
      </c>
      <c r="I473" s="304">
        <f t="shared" ca="1" si="216"/>
        <v>52.302964859609148</v>
      </c>
      <c r="J473" s="306">
        <f t="shared" ca="1" si="217"/>
        <v>150.09587023194715</v>
      </c>
      <c r="K473" s="307">
        <f t="shared" ca="1" si="218"/>
        <v>-3.4917890394571063</v>
      </c>
      <c r="L473" s="304">
        <f t="shared" ca="1" si="203"/>
        <v>150.13648074795674</v>
      </c>
      <c r="M473" s="306">
        <f t="shared" ca="1" si="219"/>
        <v>-1.499099659580885</v>
      </c>
      <c r="N473" s="304">
        <f t="shared" ca="1" si="220"/>
        <v>-85.892083563483155</v>
      </c>
      <c r="P473" s="310">
        <f t="shared" ca="1" si="221"/>
        <v>23</v>
      </c>
      <c r="Q473" s="304">
        <f t="shared" ca="1" si="222"/>
        <v>0</v>
      </c>
      <c r="R473" s="306">
        <f t="shared" ca="1" si="223"/>
        <v>0</v>
      </c>
      <c r="S473" s="307">
        <f t="shared" ca="1" si="224"/>
        <v>0.4270000000000001</v>
      </c>
      <c r="T473" s="304">
        <f t="shared" ca="1" si="204"/>
        <v>4.1888700000000014</v>
      </c>
      <c r="U473" s="311">
        <f t="shared" ca="1" si="205"/>
        <v>0</v>
      </c>
      <c r="V473" s="306">
        <f t="shared" ca="1" si="206"/>
        <v>1.2254278188499921</v>
      </c>
      <c r="W473" s="304">
        <f t="shared" ca="1" si="207"/>
        <v>3.546013159493786</v>
      </c>
      <c r="Y473" s="314" t="str">
        <f t="shared" ca="1" si="225"/>
        <v/>
      </c>
      <c r="Z473" s="315" t="str">
        <f t="shared" ca="1" si="226"/>
        <v/>
      </c>
      <c r="AA473" s="316" t="str">
        <f t="shared" ca="1" si="227"/>
        <v/>
      </c>
      <c r="AC473" s="310" t="e">
        <f t="shared" ca="1" si="228"/>
        <v>#N/A</v>
      </c>
      <c r="AD473" s="323" t="e">
        <f t="shared" ca="1" si="229"/>
        <v>#N/A</v>
      </c>
      <c r="AE473" s="324" t="e">
        <f t="shared" ca="1" si="208"/>
        <v>#N/A</v>
      </c>
      <c r="AG473" s="306">
        <f t="shared" ca="1" si="230"/>
        <v>1.4803670079038298</v>
      </c>
      <c r="AH473" s="304">
        <f t="shared" ca="1" si="231"/>
        <v>-8.3044291254598708</v>
      </c>
    </row>
    <row r="474" spans="1:34" x14ac:dyDescent="0.3">
      <c r="A474" s="347">
        <f t="shared" ca="1" si="209"/>
        <v>1E-4</v>
      </c>
      <c r="B474" s="304">
        <f t="shared" ca="1" si="210"/>
        <v>16.112899999999932</v>
      </c>
      <c r="D474" s="306">
        <f t="shared" ca="1" si="211"/>
        <v>-0.59489360024601012</v>
      </c>
      <c r="E474" s="307">
        <f t="shared" ca="1" si="212"/>
        <v>-1.5268546170872526</v>
      </c>
      <c r="F474" s="304">
        <f t="shared" ca="1" si="213"/>
        <v>1.6386529276617181</v>
      </c>
      <c r="G474" s="306">
        <f t="shared" ca="1" si="214"/>
        <v>3.7466768888844442</v>
      </c>
      <c r="H474" s="307">
        <f t="shared" ca="1" si="215"/>
        <v>-52.16874572396955</v>
      </c>
      <c r="I474" s="304">
        <f t="shared" ca="1" si="216"/>
        <v>52.303112891317397</v>
      </c>
      <c r="J474" s="306">
        <f t="shared" ca="1" si="217"/>
        <v>150.09587023194715</v>
      </c>
      <c r="K474" s="307">
        <f t="shared" ca="1" si="218"/>
        <v>-3.4970059063952301</v>
      </c>
      <c r="L474" s="304">
        <f t="shared" ca="1" si="203"/>
        <v>150.13660216947392</v>
      </c>
      <c r="M474" s="306">
        <f t="shared" ca="1" si="219"/>
        <v>-1.4991010031756375</v>
      </c>
      <c r="N474" s="304">
        <f t="shared" ca="1" si="220"/>
        <v>-85.892160545791853</v>
      </c>
      <c r="P474" s="310">
        <f t="shared" ca="1" si="221"/>
        <v>23</v>
      </c>
      <c r="Q474" s="304">
        <f t="shared" ca="1" si="222"/>
        <v>0</v>
      </c>
      <c r="R474" s="306">
        <f t="shared" ca="1" si="223"/>
        <v>0</v>
      </c>
      <c r="S474" s="307">
        <f t="shared" ca="1" si="224"/>
        <v>0.4270000000000001</v>
      </c>
      <c r="T474" s="304">
        <f t="shared" ca="1" si="204"/>
        <v>4.1888700000000014</v>
      </c>
      <c r="U474" s="311">
        <f t="shared" ca="1" si="205"/>
        <v>0</v>
      </c>
      <c r="V474" s="306">
        <f t="shared" ca="1" si="206"/>
        <v>1.225428458139566</v>
      </c>
      <c r="W474" s="304">
        <f t="shared" ca="1" si="207"/>
        <v>3.5460350818169761</v>
      </c>
      <c r="Y474" s="314" t="str">
        <f t="shared" ca="1" si="225"/>
        <v/>
      </c>
      <c r="Z474" s="315" t="str">
        <f t="shared" ca="1" si="226"/>
        <v/>
      </c>
      <c r="AA474" s="316" t="str">
        <f t="shared" ca="1" si="227"/>
        <v/>
      </c>
      <c r="AC474" s="310" t="e">
        <f t="shared" ca="1" si="228"/>
        <v>#N/A</v>
      </c>
      <c r="AD474" s="323" t="e">
        <f t="shared" ca="1" si="229"/>
        <v>#N/A</v>
      </c>
      <c r="AE474" s="324" t="e">
        <f t="shared" ca="1" si="208"/>
        <v>#N/A</v>
      </c>
      <c r="AG474" s="306">
        <f t="shared" ca="1" si="230"/>
        <v>1.4803166103946133</v>
      </c>
      <c r="AH474" s="304">
        <f t="shared" ca="1" si="231"/>
        <v>-8.3044804671985606</v>
      </c>
    </row>
    <row r="475" spans="1:34" x14ac:dyDescent="0.3">
      <c r="A475" s="347">
        <f t="shared" ca="1" si="209"/>
        <v>1E-4</v>
      </c>
      <c r="B475" s="304">
        <f t="shared" ca="1" si="210"/>
        <v>16.112999999999932</v>
      </c>
      <c r="D475" s="306">
        <f t="shared" ca="1" si="211"/>
        <v>-0.59488614876416279</v>
      </c>
      <c r="E475" s="307">
        <f t="shared" ca="1" si="212"/>
        <v>-1.5268026093572544</v>
      </c>
      <c r="F475" s="304">
        <f t="shared" ca="1" si="213"/>
        <v>1.6386017630686165</v>
      </c>
      <c r="G475" s="306">
        <f t="shared" ca="1" si="214"/>
        <v>3.7466174002695678</v>
      </c>
      <c r="H475" s="307">
        <f t="shared" ca="1" si="215"/>
        <v>-52.16889840423049</v>
      </c>
      <c r="I475" s="304">
        <f t="shared" ca="1" si="216"/>
        <v>52.30326091798603</v>
      </c>
      <c r="J475" s="306">
        <f t="shared" ca="1" si="217"/>
        <v>150.09587023194715</v>
      </c>
      <c r="K475" s="307">
        <f t="shared" ca="1" si="218"/>
        <v>-3.5022227886016402</v>
      </c>
      <c r="L475" s="304">
        <f t="shared" ca="1" si="203"/>
        <v>150.13672377252183</v>
      </c>
      <c r="M475" s="306">
        <f t="shared" ca="1" si="219"/>
        <v>-1.4991023467414519</v>
      </c>
      <c r="N475" s="304">
        <f t="shared" ca="1" si="220"/>
        <v>-85.892237526442514</v>
      </c>
      <c r="P475" s="310">
        <f t="shared" ca="1" si="221"/>
        <v>23</v>
      </c>
      <c r="Q475" s="304">
        <f t="shared" ca="1" si="222"/>
        <v>0</v>
      </c>
      <c r="R475" s="306">
        <f t="shared" ca="1" si="223"/>
        <v>0</v>
      </c>
      <c r="S475" s="307">
        <f t="shared" ca="1" si="224"/>
        <v>0.4270000000000001</v>
      </c>
      <c r="T475" s="304">
        <f t="shared" ca="1" si="204"/>
        <v>4.1888700000000014</v>
      </c>
      <c r="U475" s="311">
        <f t="shared" ca="1" si="205"/>
        <v>0</v>
      </c>
      <c r="V475" s="306">
        <f t="shared" ca="1" si="206"/>
        <v>1.2254290974313438</v>
      </c>
      <c r="W475" s="304">
        <f t="shared" ca="1" si="207"/>
        <v>3.5460570035409451</v>
      </c>
      <c r="Y475" s="314" t="str">
        <f t="shared" ca="1" si="225"/>
        <v/>
      </c>
      <c r="Z475" s="315" t="str">
        <f t="shared" ca="1" si="226"/>
        <v/>
      </c>
      <c r="AA475" s="316" t="str">
        <f t="shared" ca="1" si="227"/>
        <v/>
      </c>
      <c r="AC475" s="310" t="e">
        <f t="shared" ca="1" si="228"/>
        <v>#N/A</v>
      </c>
      <c r="AD475" s="323" t="e">
        <f t="shared" ca="1" si="229"/>
        <v>#N/A</v>
      </c>
      <c r="AE475" s="324" t="e">
        <f t="shared" ca="1" si="208"/>
        <v>#N/A</v>
      </c>
      <c r="AG475" s="306">
        <f t="shared" ca="1" si="230"/>
        <v>1.4802662142507437</v>
      </c>
      <c r="AH475" s="304">
        <f t="shared" ca="1" si="231"/>
        <v>-8.3045318075339001</v>
      </c>
    </row>
    <row r="476" spans="1:34" x14ac:dyDescent="0.3">
      <c r="A476" s="347">
        <f t="shared" ca="1" si="209"/>
        <v>1E-4</v>
      </c>
      <c r="B476" s="304">
        <f t="shared" ca="1" si="210"/>
        <v>16.113099999999932</v>
      </c>
      <c r="D476" s="306">
        <f t="shared" ca="1" si="211"/>
        <v>-0.59487869728281306</v>
      </c>
      <c r="E476" s="307">
        <f t="shared" ca="1" si="212"/>
        <v>-1.5267506030492619</v>
      </c>
      <c r="F476" s="304">
        <f t="shared" ca="1" si="213"/>
        <v>1.6385505998876513</v>
      </c>
      <c r="G476" s="306">
        <f t="shared" ca="1" si="214"/>
        <v>3.7465579123998394</v>
      </c>
      <c r="H476" s="307">
        <f t="shared" ca="1" si="215"/>
        <v>-52.169051079290796</v>
      </c>
      <c r="I476" s="304">
        <f t="shared" ca="1" si="216"/>
        <v>52.303408939615188</v>
      </c>
      <c r="J476" s="306">
        <f t="shared" ca="1" si="217"/>
        <v>150.09587023194715</v>
      </c>
      <c r="K476" s="307">
        <f t="shared" ca="1" si="218"/>
        <v>-3.5074396860758164</v>
      </c>
      <c r="L476" s="304">
        <f t="shared" ca="1" si="203"/>
        <v>150.13684555710159</v>
      </c>
      <c r="M476" s="306">
        <f t="shared" ca="1" si="219"/>
        <v>-1.4991036902783288</v>
      </c>
      <c r="N476" s="304">
        <f t="shared" ca="1" si="220"/>
        <v>-85.892314505435181</v>
      </c>
      <c r="P476" s="310">
        <f t="shared" ca="1" si="221"/>
        <v>23</v>
      </c>
      <c r="Q476" s="304">
        <f t="shared" ca="1" si="222"/>
        <v>0</v>
      </c>
      <c r="R476" s="306">
        <f t="shared" ca="1" si="223"/>
        <v>0</v>
      </c>
      <c r="S476" s="307">
        <f t="shared" ca="1" si="224"/>
        <v>0.4270000000000001</v>
      </c>
      <c r="T476" s="304">
        <f t="shared" ca="1" si="204"/>
        <v>4.1888700000000014</v>
      </c>
      <c r="U476" s="311">
        <f t="shared" ca="1" si="205"/>
        <v>0</v>
      </c>
      <c r="V476" s="306">
        <f t="shared" ca="1" si="206"/>
        <v>1.2254297367253268</v>
      </c>
      <c r="W476" s="304">
        <f t="shared" ca="1" si="207"/>
        <v>3.5460789246657103</v>
      </c>
      <c r="Y476" s="314" t="str">
        <f t="shared" ca="1" si="225"/>
        <v/>
      </c>
      <c r="Z476" s="315" t="str">
        <f t="shared" ca="1" si="226"/>
        <v/>
      </c>
      <c r="AA476" s="316" t="str">
        <f t="shared" ca="1" si="227"/>
        <v/>
      </c>
      <c r="AC476" s="310" t="e">
        <f t="shared" ca="1" si="228"/>
        <v>#N/A</v>
      </c>
      <c r="AD476" s="323" t="e">
        <f t="shared" ca="1" si="229"/>
        <v>#N/A</v>
      </c>
      <c r="AE476" s="324" t="e">
        <f t="shared" ca="1" si="208"/>
        <v>#N/A</v>
      </c>
      <c r="AG476" s="306">
        <f t="shared" ca="1" si="230"/>
        <v>1.4802158194722015</v>
      </c>
      <c r="AH476" s="304">
        <f t="shared" ca="1" si="231"/>
        <v>-8.3045831464659123</v>
      </c>
    </row>
    <row r="477" spans="1:34" x14ac:dyDescent="0.3">
      <c r="A477" s="347">
        <f t="shared" ca="1" si="209"/>
        <v>1E-4</v>
      </c>
      <c r="B477" s="304">
        <f t="shared" ca="1" si="210"/>
        <v>16.113199999999932</v>
      </c>
      <c r="D477" s="306">
        <f t="shared" ca="1" si="211"/>
        <v>-0.59487124580196837</v>
      </c>
      <c r="E477" s="307">
        <f t="shared" ca="1" si="212"/>
        <v>-1.5266985981632377</v>
      </c>
      <c r="F477" s="304">
        <f t="shared" ca="1" si="213"/>
        <v>1.6384994381187872</v>
      </c>
      <c r="G477" s="306">
        <f t="shared" ca="1" si="214"/>
        <v>3.7464984252752593</v>
      </c>
      <c r="H477" s="307">
        <f t="shared" ca="1" si="215"/>
        <v>-52.169203749150611</v>
      </c>
      <c r="I477" s="304">
        <f t="shared" ca="1" si="216"/>
        <v>52.303556956205</v>
      </c>
      <c r="J477" s="306">
        <f t="shared" ca="1" si="217"/>
        <v>150.09587023194715</v>
      </c>
      <c r="K477" s="307">
        <f t="shared" ca="1" si="218"/>
        <v>-3.5126565988172382</v>
      </c>
      <c r="L477" s="304">
        <f t="shared" ca="1" si="203"/>
        <v>150.13696752321439</v>
      </c>
      <c r="M477" s="306">
        <f t="shared" ca="1" si="219"/>
        <v>-1.499105033786269</v>
      </c>
      <c r="N477" s="304">
        <f t="shared" ca="1" si="220"/>
        <v>-85.892391482769895</v>
      </c>
      <c r="P477" s="310">
        <f t="shared" ca="1" si="221"/>
        <v>23</v>
      </c>
      <c r="Q477" s="304">
        <f t="shared" ca="1" si="222"/>
        <v>0</v>
      </c>
      <c r="R477" s="306">
        <f t="shared" ca="1" si="223"/>
        <v>0</v>
      </c>
      <c r="S477" s="307">
        <f t="shared" ca="1" si="224"/>
        <v>0.4270000000000001</v>
      </c>
      <c r="T477" s="304">
        <f t="shared" ca="1" si="204"/>
        <v>4.1888700000000014</v>
      </c>
      <c r="U477" s="311">
        <f t="shared" ca="1" si="205"/>
        <v>0</v>
      </c>
      <c r="V477" s="306">
        <f t="shared" ca="1" si="206"/>
        <v>1.2254303760215137</v>
      </c>
      <c r="W477" s="304">
        <f t="shared" ca="1" si="207"/>
        <v>3.546100845191277</v>
      </c>
      <c r="Y477" s="314" t="str">
        <f t="shared" ca="1" si="225"/>
        <v/>
      </c>
      <c r="Z477" s="315" t="str">
        <f t="shared" ca="1" si="226"/>
        <v/>
      </c>
      <c r="AA477" s="316" t="str">
        <f t="shared" ca="1" si="227"/>
        <v/>
      </c>
      <c r="AC477" s="310" t="e">
        <f t="shared" ca="1" si="228"/>
        <v>#N/A</v>
      </c>
      <c r="AD477" s="323" t="e">
        <f t="shared" ca="1" si="229"/>
        <v>#N/A</v>
      </c>
      <c r="AE477" s="324" t="e">
        <f t="shared" ca="1" si="208"/>
        <v>#N/A</v>
      </c>
      <c r="AG477" s="306">
        <f t="shared" ca="1" si="230"/>
        <v>1.480165426058953</v>
      </c>
      <c r="AH477" s="304">
        <f t="shared" ca="1" si="231"/>
        <v>-8.3046344839946364</v>
      </c>
    </row>
    <row r="478" spans="1:34" x14ac:dyDescent="0.3">
      <c r="A478" s="347">
        <f t="shared" ca="1" si="209"/>
        <v>1E-4</v>
      </c>
      <c r="B478" s="304">
        <f t="shared" ca="1" si="210"/>
        <v>16.113299999999931</v>
      </c>
      <c r="D478" s="306">
        <f t="shared" ca="1" si="211"/>
        <v>-0.59486379432163228</v>
      </c>
      <c r="E478" s="307">
        <f t="shared" ca="1" si="212"/>
        <v>-1.5266465946991694</v>
      </c>
      <c r="F478" s="304">
        <f t="shared" ca="1" si="213"/>
        <v>1.6384482777620106</v>
      </c>
      <c r="G478" s="306">
        <f t="shared" ca="1" si="214"/>
        <v>3.7464389388958272</v>
      </c>
      <c r="H478" s="307">
        <f t="shared" ca="1" si="215"/>
        <v>-52.169356413810078</v>
      </c>
      <c r="I478" s="304">
        <f t="shared" ca="1" si="216"/>
        <v>52.303704967755593</v>
      </c>
      <c r="J478" s="306">
        <f t="shared" ca="1" si="217"/>
        <v>150.09587023194715</v>
      </c>
      <c r="K478" s="307">
        <f t="shared" ca="1" si="218"/>
        <v>-3.5178735268253862</v>
      </c>
      <c r="L478" s="304">
        <f t="shared" ca="1" si="203"/>
        <v>150.13708967086131</v>
      </c>
      <c r="M478" s="306">
        <f t="shared" ca="1" si="219"/>
        <v>-1.4991063772652735</v>
      </c>
      <c r="N478" s="304">
        <f t="shared" ca="1" si="220"/>
        <v>-85.892468458446714</v>
      </c>
      <c r="P478" s="310">
        <f t="shared" ca="1" si="221"/>
        <v>23</v>
      </c>
      <c r="Q478" s="304">
        <f t="shared" ca="1" si="222"/>
        <v>0</v>
      </c>
      <c r="R478" s="306">
        <f t="shared" ca="1" si="223"/>
        <v>0</v>
      </c>
      <c r="S478" s="307">
        <f t="shared" ca="1" si="224"/>
        <v>0.4270000000000001</v>
      </c>
      <c r="T478" s="304">
        <f t="shared" ca="1" si="204"/>
        <v>4.1888700000000014</v>
      </c>
      <c r="U478" s="311">
        <f t="shared" ca="1" si="205"/>
        <v>0</v>
      </c>
      <c r="V478" s="306">
        <f t="shared" ca="1" si="206"/>
        <v>1.2254310153199053</v>
      </c>
      <c r="W478" s="304">
        <f t="shared" ca="1" si="207"/>
        <v>3.546122765117659</v>
      </c>
      <c r="Y478" s="314" t="str">
        <f t="shared" ca="1" si="225"/>
        <v/>
      </c>
      <c r="Z478" s="315" t="str">
        <f t="shared" ca="1" si="226"/>
        <v/>
      </c>
      <c r="AA478" s="316" t="str">
        <f t="shared" ca="1" si="227"/>
        <v/>
      </c>
      <c r="AC478" s="310" t="e">
        <f t="shared" ca="1" si="228"/>
        <v>#N/A</v>
      </c>
      <c r="AD478" s="323" t="e">
        <f t="shared" ca="1" si="229"/>
        <v>#N/A</v>
      </c>
      <c r="AE478" s="324" t="e">
        <f t="shared" ca="1" si="208"/>
        <v>#N/A</v>
      </c>
      <c r="AG478" s="306">
        <f t="shared" ca="1" si="230"/>
        <v>1.4801150340109821</v>
      </c>
      <c r="AH478" s="304">
        <f t="shared" ca="1" si="231"/>
        <v>-8.3046858201200848</v>
      </c>
    </row>
    <row r="479" spans="1:34" x14ac:dyDescent="0.3">
      <c r="A479" s="347">
        <f t="shared" ca="1" si="209"/>
        <v>1E-4</v>
      </c>
      <c r="B479" s="304">
        <f t="shared" ca="1" si="210"/>
        <v>16.113399999999931</v>
      </c>
      <c r="D479" s="306">
        <f t="shared" ca="1" si="211"/>
        <v>-0.5948563428418101</v>
      </c>
      <c r="E479" s="307">
        <f t="shared" ca="1" si="212"/>
        <v>-1.5265945926570215</v>
      </c>
      <c r="F479" s="304">
        <f t="shared" ca="1" si="213"/>
        <v>1.6383971188172879</v>
      </c>
      <c r="G479" s="306">
        <f t="shared" ca="1" si="214"/>
        <v>3.7463794532615431</v>
      </c>
      <c r="H479" s="307">
        <f t="shared" ca="1" si="215"/>
        <v>-52.169509073269346</v>
      </c>
      <c r="I479" s="304">
        <f t="shared" ca="1" si="216"/>
        <v>52.30385297426713</v>
      </c>
      <c r="J479" s="306">
        <f t="shared" ca="1" si="217"/>
        <v>150.09587023194715</v>
      </c>
      <c r="K479" s="307">
        <f t="shared" ca="1" si="218"/>
        <v>-3.5230904700997403</v>
      </c>
      <c r="L479" s="304">
        <f t="shared" ca="1" si="203"/>
        <v>150.13721200004358</v>
      </c>
      <c r="M479" s="306">
        <f t="shared" ca="1" si="219"/>
        <v>-1.4991077207153429</v>
      </c>
      <c r="N479" s="304">
        <f t="shared" ca="1" si="220"/>
        <v>-85.892545432465681</v>
      </c>
      <c r="P479" s="310">
        <f t="shared" ca="1" si="221"/>
        <v>23</v>
      </c>
      <c r="Q479" s="304">
        <f t="shared" ca="1" si="222"/>
        <v>0</v>
      </c>
      <c r="R479" s="306">
        <f t="shared" ca="1" si="223"/>
        <v>0</v>
      </c>
      <c r="S479" s="307">
        <f t="shared" ca="1" si="224"/>
        <v>0.4270000000000001</v>
      </c>
      <c r="T479" s="304">
        <f t="shared" ca="1" si="204"/>
        <v>4.1888700000000014</v>
      </c>
      <c r="U479" s="311">
        <f t="shared" ca="1" si="205"/>
        <v>0</v>
      </c>
      <c r="V479" s="306">
        <f t="shared" ca="1" si="206"/>
        <v>1.2254316546205011</v>
      </c>
      <c r="W479" s="304">
        <f t="shared" ca="1" si="207"/>
        <v>3.5461446844448696</v>
      </c>
      <c r="Y479" s="314" t="str">
        <f t="shared" ca="1" si="225"/>
        <v/>
      </c>
      <c r="Z479" s="315" t="str">
        <f t="shared" ca="1" si="226"/>
        <v/>
      </c>
      <c r="AA479" s="316" t="str">
        <f t="shared" ca="1" si="227"/>
        <v/>
      </c>
      <c r="AC479" s="310" t="e">
        <f t="shared" ca="1" si="228"/>
        <v>#N/A</v>
      </c>
      <c r="AD479" s="323" t="e">
        <f t="shared" ca="1" si="229"/>
        <v>#N/A</v>
      </c>
      <c r="AE479" s="324" t="e">
        <f t="shared" ca="1" si="208"/>
        <v>#N/A</v>
      </c>
      <c r="AG479" s="306">
        <f t="shared" ca="1" si="230"/>
        <v>1.4800646433282605</v>
      </c>
      <c r="AH479" s="304">
        <f t="shared" ca="1" si="231"/>
        <v>-8.3047371548422912</v>
      </c>
    </row>
    <row r="480" spans="1:34" x14ac:dyDescent="0.3">
      <c r="A480" s="347">
        <f t="shared" ca="1" si="209"/>
        <v>1E-4</v>
      </c>
      <c r="B480" s="304">
        <f t="shared" ca="1" si="210"/>
        <v>16.113499999999931</v>
      </c>
      <c r="D480" s="306">
        <f t="shared" ca="1" si="211"/>
        <v>-0.59484889136250851</v>
      </c>
      <c r="E480" s="307">
        <f t="shared" ca="1" si="212"/>
        <v>-1.5265425920367655</v>
      </c>
      <c r="F480" s="304">
        <f t="shared" ca="1" si="213"/>
        <v>1.6383459612845914</v>
      </c>
      <c r="G480" s="306">
        <f t="shared" ca="1" si="214"/>
        <v>3.7463199683724069</v>
      </c>
      <c r="H480" s="307">
        <f t="shared" ca="1" si="215"/>
        <v>-52.169661727528549</v>
      </c>
      <c r="I480" s="304">
        <f t="shared" ca="1" si="216"/>
        <v>52.304000975739733</v>
      </c>
      <c r="J480" s="306">
        <f t="shared" ca="1" si="217"/>
        <v>150.09587023194715</v>
      </c>
      <c r="K480" s="307">
        <f t="shared" ca="1" si="218"/>
        <v>-3.52830742863978</v>
      </c>
      <c r="L480" s="304">
        <f t="shared" ca="1" si="203"/>
        <v>150.13733451076223</v>
      </c>
      <c r="M480" s="306">
        <f t="shared" ca="1" si="219"/>
        <v>-1.4991090641364782</v>
      </c>
      <c r="N480" s="304">
        <f t="shared" ca="1" si="220"/>
        <v>-85.892622404826838</v>
      </c>
      <c r="P480" s="310">
        <f t="shared" ca="1" si="221"/>
        <v>23</v>
      </c>
      <c r="Q480" s="304">
        <f t="shared" ca="1" si="222"/>
        <v>0</v>
      </c>
      <c r="R480" s="306">
        <f t="shared" ca="1" si="223"/>
        <v>0</v>
      </c>
      <c r="S480" s="307">
        <f t="shared" ca="1" si="224"/>
        <v>0.4270000000000001</v>
      </c>
      <c r="T480" s="304">
        <f t="shared" ca="1" si="204"/>
        <v>4.1888700000000014</v>
      </c>
      <c r="U480" s="311">
        <f t="shared" ca="1" si="205"/>
        <v>0</v>
      </c>
      <c r="V480" s="306">
        <f t="shared" ca="1" si="206"/>
        <v>1.2254322939233013</v>
      </c>
      <c r="W480" s="304">
        <f t="shared" ca="1" si="207"/>
        <v>3.5461666031729204</v>
      </c>
      <c r="Y480" s="314" t="str">
        <f t="shared" ca="1" si="225"/>
        <v/>
      </c>
      <c r="Z480" s="315" t="str">
        <f t="shared" ca="1" si="226"/>
        <v/>
      </c>
      <c r="AA480" s="316" t="str">
        <f t="shared" ca="1" si="227"/>
        <v/>
      </c>
      <c r="AC480" s="310" t="e">
        <f t="shared" ca="1" si="228"/>
        <v>#N/A</v>
      </c>
      <c r="AD480" s="323" t="e">
        <f t="shared" ca="1" si="229"/>
        <v>#N/A</v>
      </c>
      <c r="AE480" s="324" t="e">
        <f t="shared" ca="1" si="208"/>
        <v>#N/A</v>
      </c>
      <c r="AG480" s="306">
        <f t="shared" ca="1" si="230"/>
        <v>1.4800142540107544</v>
      </c>
      <c r="AH480" s="304">
        <f t="shared" ca="1" si="231"/>
        <v>-8.3047884881612859</v>
      </c>
    </row>
    <row r="481" spans="1:34" x14ac:dyDescent="0.3">
      <c r="A481" s="347">
        <f t="shared" ca="1" si="209"/>
        <v>1E-4</v>
      </c>
      <c r="B481" s="304">
        <f t="shared" ca="1" si="210"/>
        <v>16.113599999999931</v>
      </c>
      <c r="D481" s="306">
        <f t="shared" ca="1" si="211"/>
        <v>-0.5948414398837325</v>
      </c>
      <c r="E481" s="307">
        <f t="shared" ca="1" si="212"/>
        <v>-1.5264905928383712</v>
      </c>
      <c r="F481" s="304">
        <f t="shared" ca="1" si="213"/>
        <v>1.6382948051638917</v>
      </c>
      <c r="G481" s="306">
        <f t="shared" ca="1" si="214"/>
        <v>3.7462604842284186</v>
      </c>
      <c r="H481" s="307">
        <f t="shared" ca="1" si="215"/>
        <v>-52.16981437658783</v>
      </c>
      <c r="I481" s="304">
        <f t="shared" ca="1" si="216"/>
        <v>52.304148972173536</v>
      </c>
      <c r="J481" s="306">
        <f t="shared" ca="1" si="217"/>
        <v>150.09587023194715</v>
      </c>
      <c r="K481" s="307">
        <f t="shared" ca="1" si="218"/>
        <v>-3.5335244024449857</v>
      </c>
      <c r="L481" s="304">
        <f t="shared" ca="1" si="203"/>
        <v>150.13745720301844</v>
      </c>
      <c r="M481" s="306">
        <f t="shared" ca="1" si="219"/>
        <v>-1.4991104075286803</v>
      </c>
      <c r="N481" s="304">
        <f t="shared" ca="1" si="220"/>
        <v>-85.892699375530256</v>
      </c>
      <c r="P481" s="310">
        <f t="shared" ca="1" si="221"/>
        <v>23</v>
      </c>
      <c r="Q481" s="304">
        <f t="shared" ca="1" si="222"/>
        <v>0</v>
      </c>
      <c r="R481" s="306">
        <f t="shared" ca="1" si="223"/>
        <v>0</v>
      </c>
      <c r="S481" s="307">
        <f t="shared" ca="1" si="224"/>
        <v>0.4270000000000001</v>
      </c>
      <c r="T481" s="304">
        <f t="shared" ca="1" si="204"/>
        <v>4.1888700000000014</v>
      </c>
      <c r="U481" s="311">
        <f t="shared" ca="1" si="205"/>
        <v>0</v>
      </c>
      <c r="V481" s="306">
        <f t="shared" ca="1" si="206"/>
        <v>1.225432933228306</v>
      </c>
      <c r="W481" s="304">
        <f t="shared" ca="1" si="207"/>
        <v>3.5461885213018225</v>
      </c>
      <c r="Y481" s="314" t="str">
        <f t="shared" ca="1" si="225"/>
        <v/>
      </c>
      <c r="Z481" s="315" t="str">
        <f t="shared" ca="1" si="226"/>
        <v/>
      </c>
      <c r="AA481" s="316" t="str">
        <f t="shared" ca="1" si="227"/>
        <v/>
      </c>
      <c r="AC481" s="310" t="e">
        <f t="shared" ca="1" si="228"/>
        <v>#N/A</v>
      </c>
      <c r="AD481" s="323" t="e">
        <f t="shared" ca="1" si="229"/>
        <v>#N/A</v>
      </c>
      <c r="AE481" s="324" t="e">
        <f t="shared" ca="1" si="208"/>
        <v>#N/A</v>
      </c>
      <c r="AG481" s="306">
        <f t="shared" ca="1" si="230"/>
        <v>1.479963866058446</v>
      </c>
      <c r="AH481" s="304">
        <f t="shared" ca="1" si="231"/>
        <v>-8.3048398200770954</v>
      </c>
    </row>
    <row r="482" spans="1:34" x14ac:dyDescent="0.3">
      <c r="A482" s="347">
        <f t="shared" ca="1" si="209"/>
        <v>1E-4</v>
      </c>
      <c r="B482" s="304">
        <f t="shared" ca="1" si="210"/>
        <v>16.11369999999993</v>
      </c>
      <c r="D482" s="306">
        <f t="shared" ca="1" si="211"/>
        <v>-0.59483398840548463</v>
      </c>
      <c r="E482" s="307">
        <f t="shared" ca="1" si="212"/>
        <v>-1.5264385950618138</v>
      </c>
      <c r="F482" s="304">
        <f t="shared" ca="1" si="213"/>
        <v>1.6382436504551636</v>
      </c>
      <c r="G482" s="306">
        <f t="shared" ca="1" si="214"/>
        <v>3.7462010008295779</v>
      </c>
      <c r="H482" s="307">
        <f t="shared" ca="1" si="215"/>
        <v>-52.169967020447338</v>
      </c>
      <c r="I482" s="304">
        <f t="shared" ca="1" si="216"/>
        <v>52.304296963568675</v>
      </c>
      <c r="J482" s="306">
        <f t="shared" ca="1" si="217"/>
        <v>150.09587023194715</v>
      </c>
      <c r="K482" s="307">
        <f t="shared" ca="1" si="218"/>
        <v>-3.5387413915148374</v>
      </c>
      <c r="L482" s="304">
        <f t="shared" ca="1" si="203"/>
        <v>150.13758007681335</v>
      </c>
      <c r="M482" s="306">
        <f t="shared" ca="1" si="219"/>
        <v>-1.4991117508919498</v>
      </c>
      <c r="N482" s="304">
        <f t="shared" ca="1" si="220"/>
        <v>-85.89277634457595</v>
      </c>
      <c r="P482" s="310">
        <f t="shared" ca="1" si="221"/>
        <v>23</v>
      </c>
      <c r="Q482" s="304">
        <f t="shared" ca="1" si="222"/>
        <v>0</v>
      </c>
      <c r="R482" s="306">
        <f t="shared" ca="1" si="223"/>
        <v>0</v>
      </c>
      <c r="S482" s="307">
        <f t="shared" ca="1" si="224"/>
        <v>0.4270000000000001</v>
      </c>
      <c r="T482" s="304">
        <f t="shared" ca="1" si="204"/>
        <v>4.1888700000000014</v>
      </c>
      <c r="U482" s="311">
        <f t="shared" ca="1" si="205"/>
        <v>0</v>
      </c>
      <c r="V482" s="306">
        <f t="shared" ca="1" si="206"/>
        <v>1.2254335725355148</v>
      </c>
      <c r="W482" s="304">
        <f t="shared" ca="1" si="207"/>
        <v>3.5462104388315865</v>
      </c>
      <c r="Y482" s="314" t="str">
        <f t="shared" ca="1" si="225"/>
        <v/>
      </c>
      <c r="Z482" s="315" t="str">
        <f t="shared" ca="1" si="226"/>
        <v/>
      </c>
      <c r="AA482" s="316" t="str">
        <f t="shared" ca="1" si="227"/>
        <v/>
      </c>
      <c r="AC482" s="310" t="e">
        <f t="shared" ca="1" si="228"/>
        <v>#N/A</v>
      </c>
      <c r="AD482" s="323" t="e">
        <f t="shared" ca="1" si="229"/>
        <v>#N/A</v>
      </c>
      <c r="AE482" s="324" t="e">
        <f t="shared" ca="1" si="208"/>
        <v>#N/A</v>
      </c>
      <c r="AG482" s="306">
        <f t="shared" ca="1" si="230"/>
        <v>1.4799134794713069</v>
      </c>
      <c r="AH482" s="304">
        <f t="shared" ca="1" si="231"/>
        <v>-8.3048911505897465</v>
      </c>
    </row>
    <row r="483" spans="1:34" x14ac:dyDescent="0.3">
      <c r="A483" s="347">
        <f t="shared" ca="1" si="209"/>
        <v>1E-4</v>
      </c>
      <c r="B483" s="304">
        <f t="shared" ca="1" si="210"/>
        <v>16.11379999999993</v>
      </c>
      <c r="D483" s="306">
        <f t="shared" ca="1" si="211"/>
        <v>-0.59482653692777343</v>
      </c>
      <c r="E483" s="307">
        <f t="shared" ca="1" si="212"/>
        <v>-1.5263865987070684</v>
      </c>
      <c r="F483" s="304">
        <f t="shared" ca="1" si="213"/>
        <v>1.6381924971583837</v>
      </c>
      <c r="G483" s="306">
        <f t="shared" ca="1" si="214"/>
        <v>3.746141518175885</v>
      </c>
      <c r="H483" s="307">
        <f t="shared" ca="1" si="215"/>
        <v>-52.170119659107208</v>
      </c>
      <c r="I483" s="304">
        <f t="shared" ca="1" si="216"/>
        <v>52.304444949925291</v>
      </c>
      <c r="J483" s="306">
        <f t="shared" ca="1" si="217"/>
        <v>150.09587023194715</v>
      </c>
      <c r="K483" s="307">
        <f t="shared" ca="1" si="218"/>
        <v>-3.543958395848815</v>
      </c>
      <c r="L483" s="304">
        <f t="shared" ca="1" si="203"/>
        <v>150.13770313214806</v>
      </c>
      <c r="M483" s="306">
        <f t="shared" ca="1" si="219"/>
        <v>-1.4991130942262876</v>
      </c>
      <c r="N483" s="304">
        <f t="shared" ca="1" si="220"/>
        <v>-85.892853311963975</v>
      </c>
      <c r="P483" s="310">
        <f t="shared" ca="1" si="221"/>
        <v>23</v>
      </c>
      <c r="Q483" s="304">
        <f t="shared" ca="1" si="222"/>
        <v>0</v>
      </c>
      <c r="R483" s="306">
        <f t="shared" ca="1" si="223"/>
        <v>0</v>
      </c>
      <c r="S483" s="307">
        <f t="shared" ca="1" si="224"/>
        <v>0.4270000000000001</v>
      </c>
      <c r="T483" s="304">
        <f t="shared" ca="1" si="204"/>
        <v>4.1888700000000014</v>
      </c>
      <c r="U483" s="311">
        <f t="shared" ca="1" si="205"/>
        <v>0</v>
      </c>
      <c r="V483" s="306">
        <f t="shared" ca="1" si="206"/>
        <v>1.2254342118449275</v>
      </c>
      <c r="W483" s="304">
        <f t="shared" ca="1" si="207"/>
        <v>3.546232355762224</v>
      </c>
      <c r="Y483" s="314" t="str">
        <f t="shared" ca="1" si="225"/>
        <v/>
      </c>
      <c r="Z483" s="315" t="str">
        <f t="shared" ca="1" si="226"/>
        <v/>
      </c>
      <c r="AA483" s="316" t="str">
        <f t="shared" ca="1" si="227"/>
        <v/>
      </c>
      <c r="AC483" s="310" t="e">
        <f t="shared" ca="1" si="228"/>
        <v>#N/A</v>
      </c>
      <c r="AD483" s="323" t="e">
        <f t="shared" ca="1" si="229"/>
        <v>#N/A</v>
      </c>
      <c r="AE483" s="324" t="e">
        <f t="shared" ca="1" si="208"/>
        <v>#N/A</v>
      </c>
      <c r="AG483" s="306">
        <f t="shared" ca="1" si="230"/>
        <v>1.4798630942493141</v>
      </c>
      <c r="AH483" s="304">
        <f t="shared" ca="1" si="231"/>
        <v>-8.3049424796992639</v>
      </c>
    </row>
    <row r="484" spans="1:34" x14ac:dyDescent="0.3">
      <c r="A484" s="347">
        <f t="shared" ca="1" si="209"/>
        <v>1E-4</v>
      </c>
      <c r="B484" s="304">
        <f t="shared" ca="1" si="210"/>
        <v>16.11389999999993</v>
      </c>
      <c r="D484" s="306">
        <f t="shared" ca="1" si="211"/>
        <v>-0.59481908545060347</v>
      </c>
      <c r="E484" s="307">
        <f t="shared" ca="1" si="212"/>
        <v>-1.5263346037741066</v>
      </c>
      <c r="F484" s="304">
        <f t="shared" ca="1" si="213"/>
        <v>1.6381413452735241</v>
      </c>
      <c r="G484" s="306">
        <f t="shared" ca="1" si="214"/>
        <v>3.7460820362673402</v>
      </c>
      <c r="H484" s="307">
        <f t="shared" ca="1" si="215"/>
        <v>-52.170272292567581</v>
      </c>
      <c r="I484" s="304">
        <f t="shared" ca="1" si="216"/>
        <v>52.304592931243519</v>
      </c>
      <c r="J484" s="306">
        <f t="shared" ca="1" si="217"/>
        <v>150.09587023194715</v>
      </c>
      <c r="K484" s="307">
        <f t="shared" ca="1" si="218"/>
        <v>-3.5491754154463986</v>
      </c>
      <c r="L484" s="304">
        <f t="shared" ca="1" si="203"/>
        <v>150.13782636902374</v>
      </c>
      <c r="M484" s="306">
        <f t="shared" ca="1" si="219"/>
        <v>-1.4991144375316945</v>
      </c>
      <c r="N484" s="304">
        <f t="shared" ca="1" si="220"/>
        <v>-85.89293027769439</v>
      </c>
      <c r="P484" s="310">
        <f t="shared" ca="1" si="221"/>
        <v>23</v>
      </c>
      <c r="Q484" s="304">
        <f t="shared" ca="1" si="222"/>
        <v>0</v>
      </c>
      <c r="R484" s="306">
        <f t="shared" ca="1" si="223"/>
        <v>0</v>
      </c>
      <c r="S484" s="307">
        <f t="shared" ca="1" si="224"/>
        <v>0.4270000000000001</v>
      </c>
      <c r="T484" s="304">
        <f t="shared" ca="1" si="204"/>
        <v>4.1888700000000014</v>
      </c>
      <c r="U484" s="311">
        <f t="shared" ca="1" si="205"/>
        <v>0</v>
      </c>
      <c r="V484" s="306">
        <f t="shared" ca="1" si="206"/>
        <v>1.225434851156544</v>
      </c>
      <c r="W484" s="304">
        <f t="shared" ca="1" si="207"/>
        <v>3.5462542720937478</v>
      </c>
      <c r="Y484" s="314" t="str">
        <f t="shared" ca="1" si="225"/>
        <v/>
      </c>
      <c r="Z484" s="315" t="str">
        <f t="shared" ca="1" si="226"/>
        <v/>
      </c>
      <c r="AA484" s="316" t="str">
        <f t="shared" ca="1" si="227"/>
        <v/>
      </c>
      <c r="AC484" s="310" t="e">
        <f t="shared" ca="1" si="228"/>
        <v>#N/A</v>
      </c>
      <c r="AD484" s="323" t="e">
        <f t="shared" ca="1" si="229"/>
        <v>#N/A</v>
      </c>
      <c r="AE484" s="324" t="e">
        <f t="shared" ca="1" si="208"/>
        <v>#N/A</v>
      </c>
      <c r="AG484" s="306">
        <f t="shared" ca="1" si="230"/>
        <v>1.4798127103924426</v>
      </c>
      <c r="AH484" s="304">
        <f t="shared" ca="1" si="231"/>
        <v>-8.3049938074056744</v>
      </c>
    </row>
    <row r="485" spans="1:34" x14ac:dyDescent="0.3">
      <c r="A485" s="347">
        <f t="shared" ca="1" si="209"/>
        <v>1E-4</v>
      </c>
      <c r="B485" s="304">
        <f t="shared" ca="1" si="210"/>
        <v>16.11399999999993</v>
      </c>
      <c r="D485" s="306">
        <f t="shared" ca="1" si="211"/>
        <v>-0.59481163397397974</v>
      </c>
      <c r="E485" s="307">
        <f t="shared" ca="1" si="212"/>
        <v>-1.5262826102628964</v>
      </c>
      <c r="F485" s="304">
        <f t="shared" ca="1" si="213"/>
        <v>1.6380901948005537</v>
      </c>
      <c r="G485" s="306">
        <f t="shared" ca="1" si="214"/>
        <v>3.7460225551039428</v>
      </c>
      <c r="H485" s="307">
        <f t="shared" ca="1" si="215"/>
        <v>-52.170424920828609</v>
      </c>
      <c r="I485" s="304">
        <f t="shared" ca="1" si="216"/>
        <v>52.304740907523495</v>
      </c>
      <c r="J485" s="306">
        <f t="shared" ca="1" si="217"/>
        <v>150.09587023194715</v>
      </c>
      <c r="K485" s="307">
        <f t="shared" ca="1" si="218"/>
        <v>-3.5543924503070685</v>
      </c>
      <c r="L485" s="304">
        <f t="shared" ca="1" si="203"/>
        <v>150.13794978744156</v>
      </c>
      <c r="M485" s="306">
        <f t="shared" ca="1" si="219"/>
        <v>-1.4991157808081714</v>
      </c>
      <c r="N485" s="304">
        <f t="shared" ca="1" si="220"/>
        <v>-85.893007241767236</v>
      </c>
      <c r="P485" s="310">
        <f t="shared" ca="1" si="221"/>
        <v>23</v>
      </c>
      <c r="Q485" s="304">
        <f t="shared" ca="1" si="222"/>
        <v>0</v>
      </c>
      <c r="R485" s="306">
        <f t="shared" ca="1" si="223"/>
        <v>0</v>
      </c>
      <c r="S485" s="307">
        <f t="shared" ca="1" si="224"/>
        <v>0.4270000000000001</v>
      </c>
      <c r="T485" s="304">
        <f t="shared" ca="1" si="204"/>
        <v>4.1888700000000014</v>
      </c>
      <c r="U485" s="311">
        <f t="shared" ca="1" si="205"/>
        <v>0</v>
      </c>
      <c r="V485" s="306">
        <f t="shared" ca="1" si="206"/>
        <v>1.2254354904703648</v>
      </c>
      <c r="W485" s="304">
        <f t="shared" ca="1" si="207"/>
        <v>3.5462761878261686</v>
      </c>
      <c r="Y485" s="314" t="str">
        <f t="shared" ca="1" si="225"/>
        <v/>
      </c>
      <c r="Z485" s="315" t="str">
        <f t="shared" ca="1" si="226"/>
        <v/>
      </c>
      <c r="AA485" s="316" t="str">
        <f t="shared" ca="1" si="227"/>
        <v/>
      </c>
      <c r="AC485" s="310" t="e">
        <f t="shared" ca="1" si="228"/>
        <v>#N/A</v>
      </c>
      <c r="AD485" s="323" t="e">
        <f t="shared" ca="1" si="229"/>
        <v>#N/A</v>
      </c>
      <c r="AE485" s="324" t="e">
        <f t="shared" ca="1" si="208"/>
        <v>#N/A</v>
      </c>
      <c r="AG485" s="306">
        <f t="shared" ca="1" si="230"/>
        <v>1.4797623279006604</v>
      </c>
      <c r="AH485" s="304">
        <f t="shared" ca="1" si="231"/>
        <v>-8.3050451337090099</v>
      </c>
    </row>
    <row r="486" spans="1:34" x14ac:dyDescent="0.3">
      <c r="A486" s="347">
        <f t="shared" ca="1" si="209"/>
        <v>1E-4</v>
      </c>
      <c r="B486" s="304">
        <f t="shared" ca="1" si="210"/>
        <v>16.114099999999929</v>
      </c>
      <c r="D486" s="306">
        <f t="shared" ca="1" si="211"/>
        <v>-0.59480418249790667</v>
      </c>
      <c r="E486" s="307">
        <f t="shared" ca="1" si="212"/>
        <v>-1.5262306181734147</v>
      </c>
      <c r="F486" s="304">
        <f t="shared" ca="1" si="213"/>
        <v>1.6380390457394496</v>
      </c>
      <c r="G486" s="306">
        <f t="shared" ca="1" si="214"/>
        <v>3.7459630746856929</v>
      </c>
      <c r="H486" s="307">
        <f t="shared" ca="1" si="215"/>
        <v>-52.170577543890424</v>
      </c>
      <c r="I486" s="304">
        <f t="shared" ca="1" si="216"/>
        <v>52.304888878765361</v>
      </c>
      <c r="J486" s="306">
        <f t="shared" ca="1" si="217"/>
        <v>150.09587023194715</v>
      </c>
      <c r="K486" s="307">
        <f t="shared" ca="1" si="218"/>
        <v>-3.5596095004303043</v>
      </c>
      <c r="L486" s="304">
        <f t="shared" ca="1" si="203"/>
        <v>150.13807338740253</v>
      </c>
      <c r="M486" s="306">
        <f t="shared" ca="1" si="219"/>
        <v>-1.4991171240557193</v>
      </c>
      <c r="N486" s="304">
        <f t="shared" ca="1" si="220"/>
        <v>-85.893084204182571</v>
      </c>
      <c r="P486" s="310">
        <f t="shared" ca="1" si="221"/>
        <v>23</v>
      </c>
      <c r="Q486" s="304">
        <f t="shared" ca="1" si="222"/>
        <v>0</v>
      </c>
      <c r="R486" s="306">
        <f t="shared" ca="1" si="223"/>
        <v>0</v>
      </c>
      <c r="S486" s="307">
        <f t="shared" ca="1" si="224"/>
        <v>0.4270000000000001</v>
      </c>
      <c r="T486" s="304">
        <f t="shared" ca="1" si="204"/>
        <v>4.1888700000000014</v>
      </c>
      <c r="U486" s="311">
        <f t="shared" ca="1" si="205"/>
        <v>0</v>
      </c>
      <c r="V486" s="306">
        <f t="shared" ca="1" si="206"/>
        <v>1.2254361297863892</v>
      </c>
      <c r="W486" s="304">
        <f t="shared" ca="1" si="207"/>
        <v>3.5462981029594984</v>
      </c>
      <c r="Y486" s="314" t="str">
        <f t="shared" ca="1" si="225"/>
        <v/>
      </c>
      <c r="Z486" s="315" t="str">
        <f t="shared" ca="1" si="226"/>
        <v/>
      </c>
      <c r="AA486" s="316" t="str">
        <f t="shared" ca="1" si="227"/>
        <v/>
      </c>
      <c r="AC486" s="310" t="e">
        <f t="shared" ca="1" si="228"/>
        <v>#N/A</v>
      </c>
      <c r="AD486" s="323" t="e">
        <f t="shared" ca="1" si="229"/>
        <v>#N/A</v>
      </c>
      <c r="AE486" s="324" t="e">
        <f t="shared" ca="1" si="208"/>
        <v>#N/A</v>
      </c>
      <c r="AG486" s="306">
        <f t="shared" ca="1" si="230"/>
        <v>1.4797119467739517</v>
      </c>
      <c r="AH486" s="304">
        <f t="shared" ca="1" si="231"/>
        <v>-8.3050964586092917</v>
      </c>
    </row>
    <row r="487" spans="1:34" x14ac:dyDescent="0.3">
      <c r="A487" s="347">
        <f t="shared" ca="1" si="209"/>
        <v>1E-4</v>
      </c>
      <c r="B487" s="304">
        <f t="shared" ca="1" si="210"/>
        <v>16.114199999999929</v>
      </c>
      <c r="D487" s="306">
        <f t="shared" ca="1" si="211"/>
        <v>-0.59479673102238928</v>
      </c>
      <c r="E487" s="307">
        <f t="shared" ca="1" si="212"/>
        <v>-1.526178627505633</v>
      </c>
      <c r="F487" s="304">
        <f t="shared" ca="1" si="213"/>
        <v>1.6379878980901839</v>
      </c>
      <c r="G487" s="306">
        <f t="shared" ca="1" si="214"/>
        <v>3.7459035950125905</v>
      </c>
      <c r="H487" s="307">
        <f t="shared" ca="1" si="215"/>
        <v>-52.170730161753177</v>
      </c>
      <c r="I487" s="304">
        <f t="shared" ca="1" si="216"/>
        <v>52.305036844969251</v>
      </c>
      <c r="J487" s="306">
        <f t="shared" ca="1" si="217"/>
        <v>150.09587023194715</v>
      </c>
      <c r="K487" s="307">
        <f t="shared" ca="1" si="218"/>
        <v>-3.5648265658155864</v>
      </c>
      <c r="L487" s="304">
        <f t="shared" ca="1" si="203"/>
        <v>150.13819716890788</v>
      </c>
      <c r="M487" s="306">
        <f t="shared" ca="1" si="219"/>
        <v>-1.499118467274339</v>
      </c>
      <c r="N487" s="304">
        <f t="shared" ca="1" si="220"/>
        <v>-85.893161164940437</v>
      </c>
      <c r="P487" s="310">
        <f t="shared" ca="1" si="221"/>
        <v>23</v>
      </c>
      <c r="Q487" s="304">
        <f t="shared" ca="1" si="222"/>
        <v>0</v>
      </c>
      <c r="R487" s="306">
        <f t="shared" ca="1" si="223"/>
        <v>0</v>
      </c>
      <c r="S487" s="307">
        <f t="shared" ca="1" si="224"/>
        <v>0.4270000000000001</v>
      </c>
      <c r="T487" s="304">
        <f t="shared" ca="1" si="204"/>
        <v>4.1888700000000014</v>
      </c>
      <c r="U487" s="311">
        <f t="shared" ca="1" si="205"/>
        <v>0</v>
      </c>
      <c r="V487" s="306">
        <f t="shared" ca="1" si="206"/>
        <v>1.225436769104618</v>
      </c>
      <c r="W487" s="304">
        <f t="shared" ca="1" si="207"/>
        <v>3.5463200174937519</v>
      </c>
      <c r="Y487" s="314" t="str">
        <f t="shared" ca="1" si="225"/>
        <v/>
      </c>
      <c r="Z487" s="315" t="str">
        <f t="shared" ca="1" si="226"/>
        <v/>
      </c>
      <c r="AA487" s="316" t="str">
        <f t="shared" ca="1" si="227"/>
        <v/>
      </c>
      <c r="AC487" s="310" t="e">
        <f t="shared" ca="1" si="228"/>
        <v>#N/A</v>
      </c>
      <c r="AD487" s="323" t="e">
        <f t="shared" ca="1" si="229"/>
        <v>#N/A</v>
      </c>
      <c r="AE487" s="324" t="e">
        <f t="shared" ca="1" si="208"/>
        <v>#N/A</v>
      </c>
      <c r="AG487" s="306">
        <f t="shared" ca="1" si="230"/>
        <v>1.4796615670122826</v>
      </c>
      <c r="AH487" s="304">
        <f t="shared" ca="1" si="231"/>
        <v>-8.3051477821065518</v>
      </c>
    </row>
    <row r="488" spans="1:34" x14ac:dyDescent="0.3">
      <c r="A488" s="347">
        <f t="shared" ca="1" si="209"/>
        <v>1E-4</v>
      </c>
      <c r="B488" s="304">
        <f t="shared" ca="1" si="210"/>
        <v>16.114299999999929</v>
      </c>
      <c r="D488" s="306">
        <f t="shared" ca="1" si="211"/>
        <v>-0.59478927954743277</v>
      </c>
      <c r="E488" s="307">
        <f t="shared" ca="1" si="212"/>
        <v>-1.526126638259516</v>
      </c>
      <c r="F488" s="304">
        <f t="shared" ca="1" si="213"/>
        <v>1.6379367518527221</v>
      </c>
      <c r="G488" s="306">
        <f t="shared" ca="1" si="214"/>
        <v>3.7458441160846356</v>
      </c>
      <c r="H488" s="307">
        <f t="shared" ca="1" si="215"/>
        <v>-52.170882774417002</v>
      </c>
      <c r="I488" s="304">
        <f t="shared" ca="1" si="216"/>
        <v>52.305184806135294</v>
      </c>
      <c r="J488" s="306">
        <f t="shared" ca="1" si="217"/>
        <v>150.09587023194715</v>
      </c>
      <c r="K488" s="307">
        <f t="shared" ca="1" si="218"/>
        <v>-3.5700436464623948</v>
      </c>
      <c r="L488" s="304">
        <f t="shared" ca="1" si="203"/>
        <v>150.13832113195872</v>
      </c>
      <c r="M488" s="306">
        <f t="shared" ca="1" si="219"/>
        <v>-1.4991198104640309</v>
      </c>
      <c r="N488" s="304">
        <f t="shared" ca="1" si="220"/>
        <v>-85.893238124040877</v>
      </c>
      <c r="P488" s="310">
        <f t="shared" ca="1" si="221"/>
        <v>23</v>
      </c>
      <c r="Q488" s="304">
        <f t="shared" ca="1" si="222"/>
        <v>0</v>
      </c>
      <c r="R488" s="306">
        <f t="shared" ca="1" si="223"/>
        <v>0</v>
      </c>
      <c r="S488" s="307">
        <f t="shared" ca="1" si="224"/>
        <v>0.4270000000000001</v>
      </c>
      <c r="T488" s="304">
        <f t="shared" ca="1" si="204"/>
        <v>4.1888700000000014</v>
      </c>
      <c r="U488" s="311">
        <f t="shared" ca="1" si="205"/>
        <v>0</v>
      </c>
      <c r="V488" s="306">
        <f t="shared" ca="1" si="206"/>
        <v>1.2254374084250501</v>
      </c>
      <c r="W488" s="304">
        <f t="shared" ca="1" si="207"/>
        <v>3.5463419314289353</v>
      </c>
      <c r="Y488" s="314" t="str">
        <f t="shared" ca="1" si="225"/>
        <v/>
      </c>
      <c r="Z488" s="315" t="str">
        <f t="shared" ca="1" si="226"/>
        <v/>
      </c>
      <c r="AA488" s="316" t="str">
        <f t="shared" ca="1" si="227"/>
        <v/>
      </c>
      <c r="AC488" s="310" t="e">
        <f t="shared" ca="1" si="228"/>
        <v>#N/A</v>
      </c>
      <c r="AD488" s="323" t="e">
        <f t="shared" ca="1" si="229"/>
        <v>#N/A</v>
      </c>
      <c r="AE488" s="324" t="e">
        <f t="shared" ca="1" si="208"/>
        <v>#N/A</v>
      </c>
      <c r="AG488" s="306">
        <f t="shared" ca="1" si="230"/>
        <v>1.4796111886156265</v>
      </c>
      <c r="AH488" s="304">
        <f t="shared" ca="1" si="231"/>
        <v>-8.3051991042008222</v>
      </c>
    </row>
    <row r="489" spans="1:34" x14ac:dyDescent="0.3">
      <c r="A489" s="347">
        <f t="shared" ca="1" si="209"/>
        <v>1E-4</v>
      </c>
      <c r="B489" s="304">
        <f t="shared" ca="1" si="210"/>
        <v>16.114399999999929</v>
      </c>
      <c r="D489" s="306">
        <f t="shared" ca="1" si="211"/>
        <v>-0.59478182807304469</v>
      </c>
      <c r="E489" s="307">
        <f t="shared" ca="1" si="212"/>
        <v>-1.5260746504350493</v>
      </c>
      <c r="F489" s="304">
        <f t="shared" ca="1" si="213"/>
        <v>1.6378856070270509</v>
      </c>
      <c r="G489" s="306">
        <f t="shared" ca="1" si="214"/>
        <v>3.7457846379018283</v>
      </c>
      <c r="H489" s="307">
        <f t="shared" ca="1" si="215"/>
        <v>-52.171035381882042</v>
      </c>
      <c r="I489" s="304">
        <f t="shared" ca="1" si="216"/>
        <v>52.305332762263632</v>
      </c>
      <c r="J489" s="306">
        <f t="shared" ca="1" si="217"/>
        <v>150.09587023194715</v>
      </c>
      <c r="K489" s="307">
        <f t="shared" ca="1" si="218"/>
        <v>-3.5752607423702099</v>
      </c>
      <c r="L489" s="304">
        <f t="shared" ca="1" si="203"/>
        <v>150.13844527655618</v>
      </c>
      <c r="M489" s="306">
        <f t="shared" ca="1" si="219"/>
        <v>-1.4991211536247964</v>
      </c>
      <c r="N489" s="304">
        <f t="shared" ca="1" si="220"/>
        <v>-85.893315081483948</v>
      </c>
      <c r="P489" s="310">
        <f t="shared" ca="1" si="221"/>
        <v>23</v>
      </c>
      <c r="Q489" s="304">
        <f t="shared" ca="1" si="222"/>
        <v>0</v>
      </c>
      <c r="R489" s="306">
        <f t="shared" ca="1" si="223"/>
        <v>0</v>
      </c>
      <c r="S489" s="307">
        <f t="shared" ca="1" si="224"/>
        <v>0.4270000000000001</v>
      </c>
      <c r="T489" s="304">
        <f t="shared" ca="1" si="204"/>
        <v>4.1888700000000014</v>
      </c>
      <c r="U489" s="311">
        <f t="shared" ca="1" si="205"/>
        <v>0</v>
      </c>
      <c r="V489" s="306">
        <f t="shared" ca="1" si="206"/>
        <v>1.2254380477476863</v>
      </c>
      <c r="W489" s="304">
        <f t="shared" ca="1" si="207"/>
        <v>3.5463638447650645</v>
      </c>
      <c r="Y489" s="314" t="str">
        <f t="shared" ca="1" si="225"/>
        <v/>
      </c>
      <c r="Z489" s="315" t="str">
        <f t="shared" ca="1" si="226"/>
        <v/>
      </c>
      <c r="AA489" s="316" t="str">
        <f t="shared" ca="1" si="227"/>
        <v/>
      </c>
      <c r="AC489" s="310" t="e">
        <f t="shared" ca="1" si="228"/>
        <v>#N/A</v>
      </c>
      <c r="AD489" s="323" t="e">
        <f t="shared" ca="1" si="229"/>
        <v>#N/A</v>
      </c>
      <c r="AE489" s="324" t="e">
        <f t="shared" ca="1" si="208"/>
        <v>#N/A</v>
      </c>
      <c r="AG489" s="306">
        <f t="shared" ca="1" si="230"/>
        <v>1.4795608115839656</v>
      </c>
      <c r="AH489" s="304">
        <f t="shared" ca="1" si="231"/>
        <v>-8.3052504248921188</v>
      </c>
    </row>
    <row r="490" spans="1:34" x14ac:dyDescent="0.3">
      <c r="A490" s="347">
        <f t="shared" ca="1" si="209"/>
        <v>1E-4</v>
      </c>
      <c r="B490" s="304">
        <f t="shared" ca="1" si="210"/>
        <v>16.114499999999929</v>
      </c>
      <c r="D490" s="306">
        <f t="shared" ca="1" si="211"/>
        <v>-0.59477437659922661</v>
      </c>
      <c r="E490" s="307">
        <f t="shared" ca="1" si="212"/>
        <v>-1.5260226640321939</v>
      </c>
      <c r="F490" s="304">
        <f t="shared" ca="1" si="213"/>
        <v>1.6378344636131312</v>
      </c>
      <c r="G490" s="306">
        <f t="shared" ca="1" si="214"/>
        <v>3.7457251604641684</v>
      </c>
      <c r="H490" s="307">
        <f t="shared" ca="1" si="215"/>
        <v>-52.171187984148446</v>
      </c>
      <c r="I490" s="304">
        <f t="shared" ca="1" si="216"/>
        <v>52.305480713354406</v>
      </c>
      <c r="J490" s="306">
        <f t="shared" ca="1" si="217"/>
        <v>150.09587023194715</v>
      </c>
      <c r="K490" s="307">
        <f t="shared" ca="1" si="218"/>
        <v>-3.5804778535385116</v>
      </c>
      <c r="L490" s="304">
        <f t="shared" ca="1" si="203"/>
        <v>150.13856960270135</v>
      </c>
      <c r="M490" s="306">
        <f t="shared" ca="1" si="219"/>
        <v>-1.4991224967566359</v>
      </c>
      <c r="N490" s="304">
        <f t="shared" ca="1" si="220"/>
        <v>-85.893392037269678</v>
      </c>
      <c r="P490" s="310">
        <f t="shared" ca="1" si="221"/>
        <v>23</v>
      </c>
      <c r="Q490" s="304">
        <f t="shared" ca="1" si="222"/>
        <v>0</v>
      </c>
      <c r="R490" s="306">
        <f t="shared" ca="1" si="223"/>
        <v>0</v>
      </c>
      <c r="S490" s="307">
        <f t="shared" ca="1" si="224"/>
        <v>0.4270000000000001</v>
      </c>
      <c r="T490" s="304">
        <f t="shared" ca="1" si="204"/>
        <v>4.1888700000000014</v>
      </c>
      <c r="U490" s="311">
        <f t="shared" ca="1" si="205"/>
        <v>0</v>
      </c>
      <c r="V490" s="306">
        <f t="shared" ca="1" si="206"/>
        <v>1.2254386870725258</v>
      </c>
      <c r="W490" s="304">
        <f t="shared" ca="1" si="207"/>
        <v>3.5463857575021489</v>
      </c>
      <c r="Y490" s="314" t="str">
        <f t="shared" ca="1" si="225"/>
        <v/>
      </c>
      <c r="Z490" s="315" t="str">
        <f t="shared" ca="1" si="226"/>
        <v/>
      </c>
      <c r="AA490" s="316" t="str">
        <f t="shared" ca="1" si="227"/>
        <v/>
      </c>
      <c r="AC490" s="310" t="e">
        <f t="shared" ca="1" si="228"/>
        <v>#N/A</v>
      </c>
      <c r="AD490" s="323" t="e">
        <f t="shared" ca="1" si="229"/>
        <v>#N/A</v>
      </c>
      <c r="AE490" s="324" t="e">
        <f t="shared" ca="1" si="208"/>
        <v>#N/A</v>
      </c>
      <c r="AG490" s="306">
        <f t="shared" ca="1" si="230"/>
        <v>1.4795104359172697</v>
      </c>
      <c r="AH490" s="304">
        <f t="shared" ca="1" si="231"/>
        <v>-8.3053017441804773</v>
      </c>
    </row>
    <row r="491" spans="1:34" x14ac:dyDescent="0.3">
      <c r="A491" s="347">
        <f t="shared" ca="1" si="209"/>
        <v>1E-4</v>
      </c>
      <c r="B491" s="304">
        <f t="shared" ca="1" si="210"/>
        <v>16.114599999999928</v>
      </c>
      <c r="D491" s="306">
        <f t="shared" ca="1" si="211"/>
        <v>-0.59476692512598683</v>
      </c>
      <c r="E491" s="307">
        <f t="shared" ca="1" si="212"/>
        <v>-1.5259706790509284</v>
      </c>
      <c r="F491" s="304">
        <f t="shared" ca="1" si="213"/>
        <v>1.6377833216109428</v>
      </c>
      <c r="G491" s="306">
        <f t="shared" ca="1" si="214"/>
        <v>3.745665683771656</v>
      </c>
      <c r="H491" s="307">
        <f t="shared" ca="1" si="215"/>
        <v>-52.171340581216349</v>
      </c>
      <c r="I491" s="304">
        <f t="shared" ca="1" si="216"/>
        <v>52.305628659407745</v>
      </c>
      <c r="J491" s="306">
        <f t="shared" ca="1" si="217"/>
        <v>150.09587023194715</v>
      </c>
      <c r="K491" s="307">
        <f t="shared" ca="1" si="218"/>
        <v>-3.5856949799667799</v>
      </c>
      <c r="L491" s="304">
        <f t="shared" ca="1" si="203"/>
        <v>150.13869411039539</v>
      </c>
      <c r="M491" s="306">
        <f t="shared" ca="1" si="219"/>
        <v>-1.4991238398595503</v>
      </c>
      <c r="N491" s="304">
        <f t="shared" ca="1" si="220"/>
        <v>-85.893468991398123</v>
      </c>
      <c r="P491" s="310">
        <f t="shared" ca="1" si="221"/>
        <v>23</v>
      </c>
      <c r="Q491" s="304">
        <f t="shared" ca="1" si="222"/>
        <v>0</v>
      </c>
      <c r="R491" s="306">
        <f t="shared" ca="1" si="223"/>
        <v>0</v>
      </c>
      <c r="S491" s="307">
        <f t="shared" ca="1" si="224"/>
        <v>0.4270000000000001</v>
      </c>
      <c r="T491" s="304">
        <f t="shared" ca="1" si="204"/>
        <v>4.1888700000000014</v>
      </c>
      <c r="U491" s="311">
        <f t="shared" ca="1" si="205"/>
        <v>0</v>
      </c>
      <c r="V491" s="306">
        <f t="shared" ca="1" si="206"/>
        <v>1.2254393263995693</v>
      </c>
      <c r="W491" s="304">
        <f t="shared" ca="1" si="207"/>
        <v>3.5464076696402014</v>
      </c>
      <c r="Y491" s="314" t="str">
        <f t="shared" ca="1" si="225"/>
        <v/>
      </c>
      <c r="Z491" s="315" t="str">
        <f t="shared" ca="1" si="226"/>
        <v/>
      </c>
      <c r="AA491" s="316" t="str">
        <f t="shared" ca="1" si="227"/>
        <v/>
      </c>
      <c r="AC491" s="310" t="e">
        <f t="shared" ca="1" si="228"/>
        <v>#N/A</v>
      </c>
      <c r="AD491" s="323" t="e">
        <f t="shared" ca="1" si="229"/>
        <v>#N/A</v>
      </c>
      <c r="AE491" s="324" t="e">
        <f t="shared" ca="1" si="208"/>
        <v>#N/A</v>
      </c>
      <c r="AG491" s="306">
        <f t="shared" ca="1" si="230"/>
        <v>1.479460061615514</v>
      </c>
      <c r="AH491" s="304">
        <f t="shared" ca="1" si="231"/>
        <v>-8.3053530620659206</v>
      </c>
    </row>
    <row r="492" spans="1:34" x14ac:dyDescent="0.3">
      <c r="A492" s="347">
        <f t="shared" ca="1" si="209"/>
        <v>1E-4</v>
      </c>
      <c r="B492" s="304">
        <f t="shared" ca="1" si="210"/>
        <v>16.114699999999928</v>
      </c>
      <c r="D492" s="306">
        <f t="shared" ca="1" si="211"/>
        <v>-0.59475947365333015</v>
      </c>
      <c r="E492" s="307">
        <f t="shared" ca="1" si="212"/>
        <v>-1.5259186954912227</v>
      </c>
      <c r="F492" s="304">
        <f t="shared" ca="1" si="213"/>
        <v>1.6377321810204566</v>
      </c>
      <c r="G492" s="306">
        <f t="shared" ca="1" si="214"/>
        <v>3.7456062078242907</v>
      </c>
      <c r="H492" s="307">
        <f t="shared" ca="1" si="215"/>
        <v>-52.171493173085899</v>
      </c>
      <c r="I492" s="304">
        <f t="shared" ca="1" si="216"/>
        <v>52.305776600423783</v>
      </c>
      <c r="J492" s="306">
        <f t="shared" ca="1" si="217"/>
        <v>150.09587023194715</v>
      </c>
      <c r="K492" s="307">
        <f t="shared" ca="1" si="218"/>
        <v>-3.5909121216544948</v>
      </c>
      <c r="L492" s="304">
        <f t="shared" ca="1" si="203"/>
        <v>150.13881879963944</v>
      </c>
      <c r="M492" s="306">
        <f t="shared" ca="1" si="219"/>
        <v>-1.4991251829335406</v>
      </c>
      <c r="N492" s="304">
        <f t="shared" ca="1" si="220"/>
        <v>-85.893545943869341</v>
      </c>
      <c r="P492" s="310">
        <f t="shared" ca="1" si="221"/>
        <v>23</v>
      </c>
      <c r="Q492" s="304">
        <f t="shared" ca="1" si="222"/>
        <v>0</v>
      </c>
      <c r="R492" s="306">
        <f t="shared" ca="1" si="223"/>
        <v>0</v>
      </c>
      <c r="S492" s="307">
        <f t="shared" ca="1" si="224"/>
        <v>0.4270000000000001</v>
      </c>
      <c r="T492" s="304">
        <f t="shared" ca="1" si="204"/>
        <v>4.1888700000000014</v>
      </c>
      <c r="U492" s="311">
        <f t="shared" ca="1" si="205"/>
        <v>0</v>
      </c>
      <c r="V492" s="306">
        <f t="shared" ca="1" si="206"/>
        <v>1.2254399657288162</v>
      </c>
      <c r="W492" s="304">
        <f t="shared" ca="1" si="207"/>
        <v>3.5464295811792317</v>
      </c>
      <c r="Y492" s="314" t="str">
        <f t="shared" ca="1" si="225"/>
        <v/>
      </c>
      <c r="Z492" s="315" t="str">
        <f t="shared" ca="1" si="226"/>
        <v/>
      </c>
      <c r="AA492" s="316" t="str">
        <f t="shared" ca="1" si="227"/>
        <v/>
      </c>
      <c r="AC492" s="310" t="e">
        <f t="shared" ca="1" si="228"/>
        <v>#N/A</v>
      </c>
      <c r="AD492" s="323" t="e">
        <f t="shared" ca="1" si="229"/>
        <v>#N/A</v>
      </c>
      <c r="AE492" s="324" t="e">
        <f t="shared" ca="1" si="208"/>
        <v>#N/A</v>
      </c>
      <c r="AG492" s="306">
        <f t="shared" ca="1" si="230"/>
        <v>1.4794096886786701</v>
      </c>
      <c r="AH492" s="304">
        <f t="shared" ca="1" si="231"/>
        <v>-8.305404378548479</v>
      </c>
    </row>
    <row r="493" spans="1:34" x14ac:dyDescent="0.3">
      <c r="A493" s="347">
        <f t="shared" ca="1" si="209"/>
        <v>1E-4</v>
      </c>
      <c r="B493" s="304">
        <f t="shared" ca="1" si="210"/>
        <v>16.114799999999928</v>
      </c>
      <c r="D493" s="306">
        <f t="shared" ca="1" si="211"/>
        <v>-0.59475202218126111</v>
      </c>
      <c r="E493" s="307">
        <f t="shared" ca="1" si="212"/>
        <v>-1.5258667133530519</v>
      </c>
      <c r="F493" s="304">
        <f t="shared" ca="1" si="213"/>
        <v>1.6376810418416476</v>
      </c>
      <c r="G493" s="306">
        <f t="shared" ca="1" si="214"/>
        <v>3.7455467326220724</v>
      </c>
      <c r="H493" s="307">
        <f t="shared" ca="1" si="215"/>
        <v>-52.171645759757233</v>
      </c>
      <c r="I493" s="304">
        <f t="shared" ca="1" si="216"/>
        <v>52.305924536402671</v>
      </c>
      <c r="J493" s="306">
        <f t="shared" ca="1" si="217"/>
        <v>150.09587023194715</v>
      </c>
      <c r="K493" s="307">
        <f t="shared" ca="1" si="218"/>
        <v>-3.5961292786011372</v>
      </c>
      <c r="L493" s="304">
        <f t="shared" ca="1" si="203"/>
        <v>150.13894367043457</v>
      </c>
      <c r="M493" s="306">
        <f t="shared" ca="1" si="219"/>
        <v>-1.4991265259786077</v>
      </c>
      <c r="N493" s="304">
        <f t="shared" ca="1" si="220"/>
        <v>-85.893622894683389</v>
      </c>
      <c r="P493" s="310">
        <f t="shared" ca="1" si="221"/>
        <v>23</v>
      </c>
      <c r="Q493" s="304">
        <f t="shared" ca="1" si="222"/>
        <v>0</v>
      </c>
      <c r="R493" s="306">
        <f t="shared" ca="1" si="223"/>
        <v>0</v>
      </c>
      <c r="S493" s="307">
        <f t="shared" ca="1" si="224"/>
        <v>0.4270000000000001</v>
      </c>
      <c r="T493" s="304">
        <f t="shared" ca="1" si="204"/>
        <v>4.1888700000000014</v>
      </c>
      <c r="U493" s="311">
        <f t="shared" ca="1" si="205"/>
        <v>0</v>
      </c>
      <c r="V493" s="306">
        <f t="shared" ca="1" si="206"/>
        <v>1.2254406050602666</v>
      </c>
      <c r="W493" s="304">
        <f t="shared" ca="1" si="207"/>
        <v>3.5464514921192549</v>
      </c>
      <c r="Y493" s="314" t="str">
        <f t="shared" ca="1" si="225"/>
        <v/>
      </c>
      <c r="Z493" s="315" t="str">
        <f t="shared" ca="1" si="226"/>
        <v/>
      </c>
      <c r="AA493" s="316" t="str">
        <f t="shared" ca="1" si="227"/>
        <v/>
      </c>
      <c r="AC493" s="310" t="e">
        <f t="shared" ca="1" si="228"/>
        <v>#N/A</v>
      </c>
      <c r="AD493" s="323" t="e">
        <f t="shared" ca="1" si="229"/>
        <v>#N/A</v>
      </c>
      <c r="AE493" s="324" t="e">
        <f t="shared" ca="1" si="208"/>
        <v>#N/A</v>
      </c>
      <c r="AG493" s="306">
        <f t="shared" ca="1" si="230"/>
        <v>1.4793593171067201</v>
      </c>
      <c r="AH493" s="304">
        <f t="shared" ca="1" si="231"/>
        <v>-8.3054556936281756</v>
      </c>
    </row>
    <row r="494" spans="1:34" x14ac:dyDescent="0.3">
      <c r="A494" s="347">
        <f t="shared" ca="1" si="209"/>
        <v>1E-4</v>
      </c>
      <c r="B494" s="304">
        <f t="shared" ca="1" si="210"/>
        <v>16.114899999999928</v>
      </c>
      <c r="D494" s="306">
        <f t="shared" ca="1" si="211"/>
        <v>-0.59474457070978315</v>
      </c>
      <c r="E494" s="307">
        <f t="shared" ca="1" si="212"/>
        <v>-1.5258147326363822</v>
      </c>
      <c r="F494" s="304">
        <f t="shared" ca="1" si="213"/>
        <v>1.6376299040744824</v>
      </c>
      <c r="G494" s="306">
        <f t="shared" ca="1" si="214"/>
        <v>3.7454872581650016</v>
      </c>
      <c r="H494" s="307">
        <f t="shared" ca="1" si="215"/>
        <v>-52.171798341230499</v>
      </c>
      <c r="I494" s="304">
        <f t="shared" ca="1" si="216"/>
        <v>52.306072467344535</v>
      </c>
      <c r="J494" s="306">
        <f t="shared" ca="1" si="217"/>
        <v>150.09587023194715</v>
      </c>
      <c r="K494" s="307">
        <f t="shared" ca="1" si="218"/>
        <v>-3.6013464508061865</v>
      </c>
      <c r="L494" s="304">
        <f t="shared" ca="1" si="203"/>
        <v>150.13906872278199</v>
      </c>
      <c r="M494" s="306">
        <f t="shared" ca="1" si="219"/>
        <v>-1.4991278689947523</v>
      </c>
      <c r="N494" s="304">
        <f t="shared" ca="1" si="220"/>
        <v>-85.893699843840281</v>
      </c>
      <c r="P494" s="310">
        <f t="shared" ca="1" si="221"/>
        <v>23</v>
      </c>
      <c r="Q494" s="304">
        <f t="shared" ca="1" si="222"/>
        <v>0</v>
      </c>
      <c r="R494" s="306">
        <f t="shared" ca="1" si="223"/>
        <v>0</v>
      </c>
      <c r="S494" s="307">
        <f t="shared" ca="1" si="224"/>
        <v>0.4270000000000001</v>
      </c>
      <c r="T494" s="304">
        <f t="shared" ca="1" si="204"/>
        <v>4.1888700000000014</v>
      </c>
      <c r="U494" s="311">
        <f t="shared" ca="1" si="205"/>
        <v>0</v>
      </c>
      <c r="V494" s="306">
        <f t="shared" ca="1" si="206"/>
        <v>1.2254412443939207</v>
      </c>
      <c r="W494" s="304">
        <f t="shared" ca="1" si="207"/>
        <v>3.5464734024602804</v>
      </c>
      <c r="Y494" s="314" t="str">
        <f t="shared" ca="1" si="225"/>
        <v/>
      </c>
      <c r="Z494" s="315" t="str">
        <f t="shared" ca="1" si="226"/>
        <v/>
      </c>
      <c r="AA494" s="316" t="str">
        <f t="shared" ca="1" si="227"/>
        <v/>
      </c>
      <c r="AC494" s="310" t="e">
        <f t="shared" ca="1" si="228"/>
        <v>#N/A</v>
      </c>
      <c r="AD494" s="323" t="e">
        <f t="shared" ca="1" si="229"/>
        <v>#N/A</v>
      </c>
      <c r="AE494" s="324" t="e">
        <f t="shared" ca="1" si="208"/>
        <v>#N/A</v>
      </c>
      <c r="AG494" s="306">
        <f t="shared" ca="1" si="230"/>
        <v>1.4793089468996286</v>
      </c>
      <c r="AH494" s="304">
        <f t="shared" ca="1" si="231"/>
        <v>-8.3055070073050441</v>
      </c>
    </row>
    <row r="495" spans="1:34" x14ac:dyDescent="0.3">
      <c r="A495" s="347">
        <f t="shared" ca="1" si="209"/>
        <v>1E-4</v>
      </c>
      <c r="B495" s="304">
        <f t="shared" ca="1" si="210"/>
        <v>16.114999999999927</v>
      </c>
      <c r="D495" s="306">
        <f t="shared" ca="1" si="211"/>
        <v>-0.59473711923890427</v>
      </c>
      <c r="E495" s="307">
        <f t="shared" ca="1" si="212"/>
        <v>-1.5257627533411888</v>
      </c>
      <c r="F495" s="304">
        <f t="shared" ca="1" si="213"/>
        <v>1.6375787677189382</v>
      </c>
      <c r="G495" s="306">
        <f t="shared" ca="1" si="214"/>
        <v>3.7454277844530779</v>
      </c>
      <c r="H495" s="307">
        <f t="shared" ca="1" si="215"/>
        <v>-52.171950917505832</v>
      </c>
      <c r="I495" s="304">
        <f t="shared" ca="1" si="216"/>
        <v>52.306220393249511</v>
      </c>
      <c r="J495" s="306">
        <f t="shared" ca="1" si="217"/>
        <v>150.09587023194715</v>
      </c>
      <c r="K495" s="307">
        <f t="shared" ca="1" si="218"/>
        <v>-3.6065636382691233</v>
      </c>
      <c r="L495" s="304">
        <f t="shared" ca="1" si="203"/>
        <v>150.13919395668273</v>
      </c>
      <c r="M495" s="306">
        <f t="shared" ca="1" si="219"/>
        <v>-1.499129211981975</v>
      </c>
      <c r="N495" s="304">
        <f t="shared" ca="1" si="220"/>
        <v>-85.893776791340088</v>
      </c>
      <c r="P495" s="310">
        <f t="shared" ca="1" si="221"/>
        <v>23</v>
      </c>
      <c r="Q495" s="304">
        <f t="shared" ca="1" si="222"/>
        <v>0</v>
      </c>
      <c r="R495" s="306">
        <f t="shared" ca="1" si="223"/>
        <v>0</v>
      </c>
      <c r="S495" s="307">
        <f t="shared" ca="1" si="224"/>
        <v>0.4270000000000001</v>
      </c>
      <c r="T495" s="304">
        <f t="shared" ca="1" si="204"/>
        <v>4.1888700000000014</v>
      </c>
      <c r="U495" s="311">
        <f t="shared" ca="1" si="205"/>
        <v>0</v>
      </c>
      <c r="V495" s="306">
        <f t="shared" ca="1" si="206"/>
        <v>1.2254418837297778</v>
      </c>
      <c r="W495" s="304">
        <f t="shared" ca="1" si="207"/>
        <v>3.5464953122023188</v>
      </c>
      <c r="Y495" s="314" t="str">
        <f t="shared" ca="1" si="225"/>
        <v/>
      </c>
      <c r="Z495" s="315" t="str">
        <f t="shared" ca="1" si="226"/>
        <v/>
      </c>
      <c r="AA495" s="316" t="str">
        <f t="shared" ca="1" si="227"/>
        <v/>
      </c>
      <c r="AC495" s="310" t="e">
        <f t="shared" ca="1" si="228"/>
        <v>#N/A</v>
      </c>
      <c r="AD495" s="323" t="e">
        <f t="shared" ca="1" si="229"/>
        <v>#N/A</v>
      </c>
      <c r="AE495" s="324" t="e">
        <f t="shared" ca="1" si="208"/>
        <v>#N/A</v>
      </c>
      <c r="AG495" s="306">
        <f t="shared" ca="1" si="230"/>
        <v>1.4792585780573759</v>
      </c>
      <c r="AH495" s="304">
        <f t="shared" ca="1" si="231"/>
        <v>-8.3055583195791094</v>
      </c>
    </row>
    <row r="496" spans="1:34" x14ac:dyDescent="0.3">
      <c r="A496" s="347">
        <f t="shared" ca="1" si="209"/>
        <v>1E-4</v>
      </c>
      <c r="B496" s="304">
        <f t="shared" ca="1" si="210"/>
        <v>16.115099999999927</v>
      </c>
      <c r="D496" s="306">
        <f t="shared" ca="1" si="211"/>
        <v>-0.59472966776862901</v>
      </c>
      <c r="E496" s="307">
        <f t="shared" ca="1" si="212"/>
        <v>-1.5257107754674504</v>
      </c>
      <c r="F496" s="304">
        <f t="shared" ca="1" si="213"/>
        <v>1.637527632774993</v>
      </c>
      <c r="G496" s="306">
        <f t="shared" ca="1" si="214"/>
        <v>3.7453683114863012</v>
      </c>
      <c r="H496" s="307">
        <f t="shared" ca="1" si="215"/>
        <v>-52.172103488583382</v>
      </c>
      <c r="I496" s="304">
        <f t="shared" ca="1" si="216"/>
        <v>52.306368314117741</v>
      </c>
      <c r="J496" s="306">
        <f t="shared" ca="1" si="217"/>
        <v>150.09587023194715</v>
      </c>
      <c r="K496" s="307">
        <f t="shared" ca="1" si="218"/>
        <v>-3.6117808409894279</v>
      </c>
      <c r="L496" s="304">
        <f t="shared" ca="1" si="203"/>
        <v>150.139319372138</v>
      </c>
      <c r="M496" s="306">
        <f t="shared" ca="1" si="219"/>
        <v>-1.4991305549402769</v>
      </c>
      <c r="N496" s="304">
        <f t="shared" ca="1" si="220"/>
        <v>-85.893853737182852</v>
      </c>
      <c r="P496" s="310">
        <f t="shared" ca="1" si="221"/>
        <v>23</v>
      </c>
      <c r="Q496" s="304">
        <f t="shared" ca="1" si="222"/>
        <v>0</v>
      </c>
      <c r="R496" s="306">
        <f t="shared" ca="1" si="223"/>
        <v>0</v>
      </c>
      <c r="S496" s="307">
        <f t="shared" ca="1" si="224"/>
        <v>0.4270000000000001</v>
      </c>
      <c r="T496" s="304">
        <f t="shared" ca="1" si="204"/>
        <v>4.1888700000000014</v>
      </c>
      <c r="U496" s="311">
        <f t="shared" ca="1" si="205"/>
        <v>0</v>
      </c>
      <c r="V496" s="306">
        <f t="shared" ca="1" si="206"/>
        <v>1.2254425230678385</v>
      </c>
      <c r="W496" s="304">
        <f t="shared" ca="1" si="207"/>
        <v>3.5465172213453857</v>
      </c>
      <c r="Y496" s="314" t="str">
        <f t="shared" ca="1" si="225"/>
        <v/>
      </c>
      <c r="Z496" s="315" t="str">
        <f t="shared" ca="1" si="226"/>
        <v/>
      </c>
      <c r="AA496" s="316" t="str">
        <f t="shared" ca="1" si="227"/>
        <v/>
      </c>
      <c r="AC496" s="310" t="e">
        <f t="shared" ca="1" si="228"/>
        <v>#N/A</v>
      </c>
      <c r="AD496" s="323" t="e">
        <f t="shared" ca="1" si="229"/>
        <v>#N/A</v>
      </c>
      <c r="AE496" s="324" t="e">
        <f t="shared" ca="1" si="208"/>
        <v>#N/A</v>
      </c>
      <c r="AG496" s="306">
        <f t="shared" ca="1" si="230"/>
        <v>1.4792082105799373</v>
      </c>
      <c r="AH496" s="304">
        <f t="shared" ca="1" si="231"/>
        <v>-8.3056096304503928</v>
      </c>
    </row>
    <row r="497" spans="1:34" x14ac:dyDescent="0.3">
      <c r="A497" s="347">
        <f t="shared" ca="1" si="209"/>
        <v>1E-4</v>
      </c>
      <c r="B497" s="304">
        <f t="shared" ca="1" si="210"/>
        <v>16.115199999999927</v>
      </c>
      <c r="D497" s="306">
        <f t="shared" ca="1" si="211"/>
        <v>-0.59472221629896282</v>
      </c>
      <c r="E497" s="307">
        <f t="shared" ca="1" si="212"/>
        <v>-1.525658799015126</v>
      </c>
      <c r="F497" s="304">
        <f t="shared" ca="1" si="213"/>
        <v>1.6374764992426081</v>
      </c>
      <c r="G497" s="306">
        <f t="shared" ca="1" si="214"/>
        <v>3.7453088392646712</v>
      </c>
      <c r="H497" s="307">
        <f t="shared" ca="1" si="215"/>
        <v>-52.172256054463283</v>
      </c>
      <c r="I497" s="304">
        <f t="shared" ca="1" si="216"/>
        <v>52.306516229949352</v>
      </c>
      <c r="J497" s="306">
        <f t="shared" ca="1" si="217"/>
        <v>150.09587023194715</v>
      </c>
      <c r="K497" s="307">
        <f t="shared" ca="1" si="218"/>
        <v>-3.6169980589665802</v>
      </c>
      <c r="L497" s="304">
        <f t="shared" ca="1" si="203"/>
        <v>150.13944496914888</v>
      </c>
      <c r="M497" s="306">
        <f t="shared" ca="1" si="219"/>
        <v>-1.4991318978696591</v>
      </c>
      <c r="N497" s="304">
        <f t="shared" ca="1" si="220"/>
        <v>-85.89393068136863</v>
      </c>
      <c r="P497" s="310">
        <f t="shared" ca="1" si="221"/>
        <v>23</v>
      </c>
      <c r="Q497" s="304">
        <f t="shared" ca="1" si="222"/>
        <v>0</v>
      </c>
      <c r="R497" s="306">
        <f t="shared" ca="1" si="223"/>
        <v>0</v>
      </c>
      <c r="S497" s="307">
        <f t="shared" ca="1" si="224"/>
        <v>0.4270000000000001</v>
      </c>
      <c r="T497" s="304">
        <f t="shared" ca="1" si="204"/>
        <v>4.1888700000000014</v>
      </c>
      <c r="U497" s="311">
        <f t="shared" ca="1" si="205"/>
        <v>0</v>
      </c>
      <c r="V497" s="306">
        <f t="shared" ca="1" si="206"/>
        <v>1.2254431624081019</v>
      </c>
      <c r="W497" s="304">
        <f t="shared" ca="1" si="207"/>
        <v>3.5465391298894868</v>
      </c>
      <c r="Y497" s="314" t="str">
        <f t="shared" ca="1" si="225"/>
        <v/>
      </c>
      <c r="Z497" s="315" t="str">
        <f t="shared" ca="1" si="226"/>
        <v/>
      </c>
      <c r="AA497" s="316" t="str">
        <f t="shared" ca="1" si="227"/>
        <v/>
      </c>
      <c r="AC497" s="310" t="e">
        <f t="shared" ca="1" si="228"/>
        <v>#N/A</v>
      </c>
      <c r="AD497" s="323" t="e">
        <f t="shared" ca="1" si="229"/>
        <v>#N/A</v>
      </c>
      <c r="AE497" s="324" t="e">
        <f t="shared" ca="1" si="208"/>
        <v>#N/A</v>
      </c>
      <c r="AG497" s="306">
        <f t="shared" ca="1" si="230"/>
        <v>1.4791578444672808</v>
      </c>
      <c r="AH497" s="304">
        <f t="shared" ca="1" si="231"/>
        <v>-8.3056609399189334</v>
      </c>
    </row>
    <row r="498" spans="1:34" x14ac:dyDescent="0.3">
      <c r="A498" s="347">
        <f t="shared" ca="1" si="209"/>
        <v>1E-4</v>
      </c>
      <c r="B498" s="304">
        <f t="shared" ca="1" si="210"/>
        <v>16.115299999999927</v>
      </c>
      <c r="D498" s="306">
        <f t="shared" ca="1" si="211"/>
        <v>-0.59471476482990782</v>
      </c>
      <c r="E498" s="307">
        <f t="shared" ca="1" si="212"/>
        <v>-1.5256068239842033</v>
      </c>
      <c r="F498" s="304">
        <f t="shared" ca="1" si="213"/>
        <v>1.6374253671217691</v>
      </c>
      <c r="G498" s="306">
        <f t="shared" ca="1" si="214"/>
        <v>3.7452493677881882</v>
      </c>
      <c r="H498" s="307">
        <f t="shared" ca="1" si="215"/>
        <v>-52.172408615145685</v>
      </c>
      <c r="I498" s="304">
        <f t="shared" ca="1" si="216"/>
        <v>52.306664140744495</v>
      </c>
      <c r="J498" s="306">
        <f t="shared" ca="1" si="217"/>
        <v>150.09587023194715</v>
      </c>
      <c r="K498" s="307">
        <f t="shared" ca="1" si="218"/>
        <v>-3.6222152922000608</v>
      </c>
      <c r="L498" s="304">
        <f t="shared" ca="1" si="203"/>
        <v>150.13957074771648</v>
      </c>
      <c r="M498" s="306">
        <f t="shared" ca="1" si="219"/>
        <v>-1.4991332407701219</v>
      </c>
      <c r="N498" s="304">
        <f t="shared" ca="1" si="220"/>
        <v>-85.894007623897465</v>
      </c>
      <c r="P498" s="310">
        <f t="shared" ca="1" si="221"/>
        <v>23</v>
      </c>
      <c r="Q498" s="304">
        <f t="shared" ca="1" si="222"/>
        <v>0</v>
      </c>
      <c r="R498" s="306">
        <f t="shared" ca="1" si="223"/>
        <v>0</v>
      </c>
      <c r="S498" s="307">
        <f t="shared" ca="1" si="224"/>
        <v>0.4270000000000001</v>
      </c>
      <c r="T498" s="304">
        <f t="shared" ca="1" si="204"/>
        <v>4.1888700000000014</v>
      </c>
      <c r="U498" s="311">
        <f t="shared" ca="1" si="205"/>
        <v>0</v>
      </c>
      <c r="V498" s="306">
        <f t="shared" ca="1" si="206"/>
        <v>1.2254438017505691</v>
      </c>
      <c r="W498" s="304">
        <f t="shared" ca="1" si="207"/>
        <v>3.5465610378346399</v>
      </c>
      <c r="Y498" s="314" t="str">
        <f t="shared" ca="1" si="225"/>
        <v/>
      </c>
      <c r="Z498" s="315" t="str">
        <f t="shared" ca="1" si="226"/>
        <v/>
      </c>
      <c r="AA498" s="316" t="str">
        <f t="shared" ca="1" si="227"/>
        <v/>
      </c>
      <c r="AC498" s="310" t="e">
        <f t="shared" ca="1" si="228"/>
        <v>#N/A</v>
      </c>
      <c r="AD498" s="323" t="e">
        <f t="shared" ca="1" si="229"/>
        <v>#N/A</v>
      </c>
      <c r="AE498" s="324" t="e">
        <f t="shared" ca="1" si="208"/>
        <v>#N/A</v>
      </c>
      <c r="AG498" s="306">
        <f t="shared" ca="1" si="230"/>
        <v>1.4791074797193868</v>
      </c>
      <c r="AH498" s="304">
        <f t="shared" ca="1" si="231"/>
        <v>-8.3057122479847454</v>
      </c>
    </row>
    <row r="499" spans="1:34" x14ac:dyDescent="0.3">
      <c r="A499" s="347">
        <f t="shared" ca="1" si="209"/>
        <v>1E-4</v>
      </c>
      <c r="B499" s="304">
        <f t="shared" ca="1" si="210"/>
        <v>16.115399999999926</v>
      </c>
      <c r="D499" s="306">
        <f t="shared" ca="1" si="211"/>
        <v>-0.59470731336147298</v>
      </c>
      <c r="E499" s="307">
        <f t="shared" ca="1" si="212"/>
        <v>-1.5255548503746414</v>
      </c>
      <c r="F499" s="304">
        <f t="shared" ca="1" si="213"/>
        <v>1.6373742364124384</v>
      </c>
      <c r="G499" s="306">
        <f t="shared" ca="1" si="214"/>
        <v>3.7451898970568522</v>
      </c>
      <c r="H499" s="307">
        <f t="shared" ca="1" si="215"/>
        <v>-52.172561170630722</v>
      </c>
      <c r="I499" s="304">
        <f t="shared" ca="1" si="216"/>
        <v>52.306812046503282</v>
      </c>
      <c r="J499" s="306">
        <f t="shared" ca="1" si="217"/>
        <v>150.09587023194715</v>
      </c>
      <c r="K499" s="307">
        <f t="shared" ca="1" si="218"/>
        <v>-3.6274325406893495</v>
      </c>
      <c r="L499" s="304">
        <f t="shared" ca="1" si="203"/>
        <v>150.13969670784195</v>
      </c>
      <c r="M499" s="306">
        <f t="shared" ca="1" si="219"/>
        <v>-1.4991345836416663</v>
      </c>
      <c r="N499" s="304">
        <f t="shared" ca="1" si="220"/>
        <v>-85.894084564769386</v>
      </c>
      <c r="P499" s="310">
        <f t="shared" ca="1" si="221"/>
        <v>23</v>
      </c>
      <c r="Q499" s="304">
        <f t="shared" ca="1" si="222"/>
        <v>0</v>
      </c>
      <c r="R499" s="306">
        <f t="shared" ca="1" si="223"/>
        <v>0</v>
      </c>
      <c r="S499" s="307">
        <f t="shared" ca="1" si="224"/>
        <v>0.4270000000000001</v>
      </c>
      <c r="T499" s="304">
        <f t="shared" ca="1" si="204"/>
        <v>4.1888700000000014</v>
      </c>
      <c r="U499" s="311">
        <f t="shared" ca="1" si="205"/>
        <v>0</v>
      </c>
      <c r="V499" s="306">
        <f t="shared" ca="1" si="206"/>
        <v>1.225444441095239</v>
      </c>
      <c r="W499" s="304">
        <f t="shared" ca="1" si="207"/>
        <v>3.5465829451808504</v>
      </c>
      <c r="Y499" s="314" t="str">
        <f t="shared" ca="1" si="225"/>
        <v/>
      </c>
      <c r="Z499" s="315" t="str">
        <f t="shared" ca="1" si="226"/>
        <v/>
      </c>
      <c r="AA499" s="316" t="str">
        <f t="shared" ca="1" si="227"/>
        <v/>
      </c>
      <c r="AC499" s="310" t="e">
        <f t="shared" ca="1" si="228"/>
        <v>#N/A</v>
      </c>
      <c r="AD499" s="323" t="e">
        <f t="shared" ca="1" si="229"/>
        <v>#N/A</v>
      </c>
      <c r="AE499" s="324" t="e">
        <f t="shared" ca="1" si="208"/>
        <v>#N/A</v>
      </c>
      <c r="AG499" s="306">
        <f t="shared" ca="1" si="230"/>
        <v>1.4790571163362287</v>
      </c>
      <c r="AH499" s="304">
        <f t="shared" ca="1" si="231"/>
        <v>-8.3057635546478661</v>
      </c>
    </row>
    <row r="500" spans="1:34" x14ac:dyDescent="0.3">
      <c r="A500" s="347">
        <f t="shared" ca="1" si="209"/>
        <v>1E-4</v>
      </c>
      <c r="B500" s="304">
        <f t="shared" ca="1" si="210"/>
        <v>16.115499999999926</v>
      </c>
      <c r="D500" s="306">
        <f t="shared" ca="1" si="211"/>
        <v>-0.59469986189366242</v>
      </c>
      <c r="E500" s="307">
        <f t="shared" ca="1" si="212"/>
        <v>-1.5255028781864244</v>
      </c>
      <c r="F500" s="304">
        <f t="shared" ca="1" si="213"/>
        <v>1.6373231071145993</v>
      </c>
      <c r="G500" s="306">
        <f t="shared" ca="1" si="214"/>
        <v>3.7451304270706629</v>
      </c>
      <c r="H500" s="307">
        <f t="shared" ca="1" si="215"/>
        <v>-52.172713720918537</v>
      </c>
      <c r="I500" s="304">
        <f t="shared" ca="1" si="216"/>
        <v>52.30695994722587</v>
      </c>
      <c r="J500" s="306">
        <f t="shared" ca="1" si="217"/>
        <v>150.09587023194715</v>
      </c>
      <c r="K500" s="307">
        <f t="shared" ca="1" si="218"/>
        <v>-3.6326498044339268</v>
      </c>
      <c r="L500" s="304">
        <f t="shared" ca="1" si="203"/>
        <v>150.13982284952641</v>
      </c>
      <c r="M500" s="306">
        <f t="shared" ca="1" si="219"/>
        <v>-1.4991359264842932</v>
      </c>
      <c r="N500" s="304">
        <f t="shared" ca="1" si="220"/>
        <v>-85.894161503984449</v>
      </c>
      <c r="P500" s="310">
        <f t="shared" ca="1" si="221"/>
        <v>23</v>
      </c>
      <c r="Q500" s="304">
        <f t="shared" ca="1" si="222"/>
        <v>0</v>
      </c>
      <c r="R500" s="306">
        <f t="shared" ca="1" si="223"/>
        <v>0</v>
      </c>
      <c r="S500" s="307">
        <f t="shared" ca="1" si="224"/>
        <v>0.4270000000000001</v>
      </c>
      <c r="T500" s="304">
        <f t="shared" ca="1" si="204"/>
        <v>4.1888700000000014</v>
      </c>
      <c r="U500" s="311">
        <f t="shared" ca="1" si="205"/>
        <v>0</v>
      </c>
      <c r="V500" s="306">
        <f t="shared" ca="1" si="206"/>
        <v>1.2254450804421122</v>
      </c>
      <c r="W500" s="304">
        <f t="shared" ca="1" si="207"/>
        <v>3.5466048519281359</v>
      </c>
      <c r="Y500" s="314" t="str">
        <f t="shared" ca="1" si="225"/>
        <v/>
      </c>
      <c r="Z500" s="315" t="str">
        <f t="shared" ca="1" si="226"/>
        <v/>
      </c>
      <c r="AA500" s="316" t="str">
        <f t="shared" ca="1" si="227"/>
        <v/>
      </c>
      <c r="AC500" s="310" t="e">
        <f t="shared" ca="1" si="228"/>
        <v>#N/A</v>
      </c>
      <c r="AD500" s="323" t="e">
        <f t="shared" ca="1" si="229"/>
        <v>#N/A</v>
      </c>
      <c r="AE500" s="324" t="e">
        <f t="shared" ca="1" si="208"/>
        <v>#N/A</v>
      </c>
      <c r="AG500" s="306">
        <f t="shared" ca="1" si="230"/>
        <v>1.4790067543177869</v>
      </c>
      <c r="AH500" s="304">
        <f t="shared" ca="1" si="231"/>
        <v>-8.3058148599083133</v>
      </c>
    </row>
    <row r="501" spans="1:34" x14ac:dyDescent="0.3">
      <c r="A501" s="347">
        <f t="shared" ca="1" si="209"/>
        <v>1E-4</v>
      </c>
      <c r="B501" s="304">
        <f t="shared" ca="1" si="210"/>
        <v>16.115599999999926</v>
      </c>
      <c r="D501" s="306">
        <f t="shared" ca="1" si="211"/>
        <v>-0.59469241042648169</v>
      </c>
      <c r="E501" s="307">
        <f t="shared" ca="1" si="212"/>
        <v>-1.5254509074195148</v>
      </c>
      <c r="F501" s="304">
        <f t="shared" ca="1" si="213"/>
        <v>1.6372719792282162</v>
      </c>
      <c r="G501" s="306">
        <f t="shared" ca="1" si="214"/>
        <v>3.7450709578296202</v>
      </c>
      <c r="H501" s="307">
        <f t="shared" ca="1" si="215"/>
        <v>-52.172866266009279</v>
      </c>
      <c r="I501" s="304">
        <f t="shared" ca="1" si="216"/>
        <v>52.307107842912394</v>
      </c>
      <c r="J501" s="306">
        <f t="shared" ca="1" si="217"/>
        <v>150.09587023194715</v>
      </c>
      <c r="K501" s="307">
        <f t="shared" ca="1" si="218"/>
        <v>-3.6378670834332731</v>
      </c>
      <c r="L501" s="304">
        <f t="shared" ca="1" si="203"/>
        <v>150.13994917277094</v>
      </c>
      <c r="M501" s="306">
        <f t="shared" ca="1" si="219"/>
        <v>-1.4991372692980034</v>
      </c>
      <c r="N501" s="304">
        <f t="shared" ca="1" si="220"/>
        <v>-85.894238441542726</v>
      </c>
      <c r="P501" s="310">
        <f t="shared" ca="1" si="221"/>
        <v>23</v>
      </c>
      <c r="Q501" s="304">
        <f t="shared" ca="1" si="222"/>
        <v>0</v>
      </c>
      <c r="R501" s="306">
        <f t="shared" ca="1" si="223"/>
        <v>0</v>
      </c>
      <c r="S501" s="307">
        <f t="shared" ca="1" si="224"/>
        <v>0.4270000000000001</v>
      </c>
      <c r="T501" s="304">
        <f t="shared" ca="1" si="204"/>
        <v>4.1888700000000014</v>
      </c>
      <c r="U501" s="311">
        <f t="shared" ca="1" si="205"/>
        <v>0</v>
      </c>
      <c r="V501" s="306">
        <f t="shared" ca="1" si="206"/>
        <v>1.2254457197911885</v>
      </c>
      <c r="W501" s="304">
        <f t="shared" ca="1" si="207"/>
        <v>3.546626758076505</v>
      </c>
      <c r="Y501" s="314" t="str">
        <f t="shared" ca="1" si="225"/>
        <v/>
      </c>
      <c r="Z501" s="315" t="str">
        <f t="shared" ca="1" si="226"/>
        <v/>
      </c>
      <c r="AA501" s="316" t="str">
        <f t="shared" ca="1" si="227"/>
        <v/>
      </c>
      <c r="AC501" s="310" t="e">
        <f t="shared" ca="1" si="228"/>
        <v>#N/A</v>
      </c>
      <c r="AD501" s="323" t="e">
        <f t="shared" ca="1" si="229"/>
        <v>#N/A</v>
      </c>
      <c r="AE501" s="324" t="e">
        <f t="shared" ca="1" si="208"/>
        <v>#N/A</v>
      </c>
      <c r="AG501" s="306">
        <f t="shared" ca="1" si="230"/>
        <v>1.4789563936640224</v>
      </c>
      <c r="AH501" s="304">
        <f t="shared" ca="1" si="231"/>
        <v>-8.3058661637661242</v>
      </c>
    </row>
    <row r="502" spans="1:34" x14ac:dyDescent="0.3">
      <c r="A502" s="347">
        <f t="shared" ca="1" si="209"/>
        <v>1E-4</v>
      </c>
      <c r="B502" s="304">
        <f t="shared" ca="1" si="210"/>
        <v>16.115699999999926</v>
      </c>
      <c r="D502" s="306">
        <f t="shared" ca="1" si="211"/>
        <v>-0.59468495895993512</v>
      </c>
      <c r="E502" s="307">
        <f t="shared" ca="1" si="212"/>
        <v>-1.5253989380738897</v>
      </c>
      <c r="F502" s="304">
        <f t="shared" ca="1" si="213"/>
        <v>1.6372208527532657</v>
      </c>
      <c r="G502" s="306">
        <f t="shared" ca="1" si="214"/>
        <v>3.7450114893337241</v>
      </c>
      <c r="H502" s="307">
        <f t="shared" ca="1" si="215"/>
        <v>-52.173018805903084</v>
      </c>
      <c r="I502" s="304">
        <f t="shared" ca="1" si="216"/>
        <v>52.307255733562997</v>
      </c>
      <c r="J502" s="306">
        <f t="shared" ca="1" si="217"/>
        <v>150.09587023194715</v>
      </c>
      <c r="K502" s="307">
        <f t="shared" ca="1" si="218"/>
        <v>-3.6430843776868689</v>
      </c>
      <c r="L502" s="304">
        <f t="shared" ca="1" si="203"/>
        <v>150.1400756775767</v>
      </c>
      <c r="M502" s="306">
        <f t="shared" ca="1" si="219"/>
        <v>-1.4991386120827979</v>
      </c>
      <c r="N502" s="304">
        <f t="shared" ca="1" si="220"/>
        <v>-85.894315377444244</v>
      </c>
      <c r="P502" s="310">
        <f t="shared" ca="1" si="221"/>
        <v>23</v>
      </c>
      <c r="Q502" s="304">
        <f t="shared" ca="1" si="222"/>
        <v>0</v>
      </c>
      <c r="R502" s="306">
        <f t="shared" ca="1" si="223"/>
        <v>0</v>
      </c>
      <c r="S502" s="307">
        <f t="shared" ca="1" si="224"/>
        <v>0.4270000000000001</v>
      </c>
      <c r="T502" s="304">
        <f t="shared" ca="1" si="204"/>
        <v>4.1888700000000014</v>
      </c>
      <c r="U502" s="311">
        <f t="shared" ca="1" si="205"/>
        <v>0</v>
      </c>
      <c r="V502" s="306">
        <f t="shared" ca="1" si="206"/>
        <v>1.2254463591424676</v>
      </c>
      <c r="W502" s="304">
        <f t="shared" ca="1" si="207"/>
        <v>3.5466486636259726</v>
      </c>
      <c r="Y502" s="314" t="str">
        <f t="shared" ca="1" si="225"/>
        <v/>
      </c>
      <c r="Z502" s="315" t="str">
        <f t="shared" ca="1" si="226"/>
        <v/>
      </c>
      <c r="AA502" s="316" t="str">
        <f t="shared" ca="1" si="227"/>
        <v/>
      </c>
      <c r="AC502" s="310" t="e">
        <f t="shared" ca="1" si="228"/>
        <v>#N/A</v>
      </c>
      <c r="AD502" s="323" t="e">
        <f t="shared" ca="1" si="229"/>
        <v>#N/A</v>
      </c>
      <c r="AE502" s="324" t="e">
        <f t="shared" ca="1" si="208"/>
        <v>#N/A</v>
      </c>
      <c r="AG502" s="306">
        <f t="shared" ca="1" si="230"/>
        <v>1.4789060343749174</v>
      </c>
      <c r="AH502" s="304">
        <f t="shared" ca="1" si="231"/>
        <v>-8.305917466221322</v>
      </c>
    </row>
    <row r="503" spans="1:34" x14ac:dyDescent="0.3">
      <c r="A503" s="347">
        <f t="shared" ca="1" si="209"/>
        <v>1E-4</v>
      </c>
      <c r="B503" s="304">
        <f t="shared" ca="1" si="210"/>
        <v>16.115799999999926</v>
      </c>
      <c r="D503" s="306">
        <f t="shared" ca="1" si="211"/>
        <v>-0.59467750749402781</v>
      </c>
      <c r="E503" s="307">
        <f t="shared" ca="1" si="212"/>
        <v>-1.5253469701495135</v>
      </c>
      <c r="F503" s="304">
        <f t="shared" ca="1" si="213"/>
        <v>1.6371697276897135</v>
      </c>
      <c r="G503" s="306">
        <f t="shared" ca="1" si="214"/>
        <v>3.7449520215829746</v>
      </c>
      <c r="H503" s="307">
        <f t="shared" ca="1" si="215"/>
        <v>-52.173171340600099</v>
      </c>
      <c r="I503" s="304">
        <f t="shared" ca="1" si="216"/>
        <v>52.307403619177791</v>
      </c>
      <c r="J503" s="306">
        <f t="shared" ca="1" si="217"/>
        <v>150.09587023194715</v>
      </c>
      <c r="K503" s="307">
        <f t="shared" ca="1" si="218"/>
        <v>-3.648301687194194</v>
      </c>
      <c r="L503" s="304">
        <f t="shared" ca="1" si="203"/>
        <v>150.14020236394481</v>
      </c>
      <c r="M503" s="306">
        <f t="shared" ca="1" si="219"/>
        <v>-1.4991399548386772</v>
      </c>
      <c r="N503" s="304">
        <f t="shared" ca="1" si="220"/>
        <v>-85.894392311689046</v>
      </c>
      <c r="P503" s="310">
        <f t="shared" ca="1" si="221"/>
        <v>23</v>
      </c>
      <c r="Q503" s="304">
        <f t="shared" ca="1" si="222"/>
        <v>0</v>
      </c>
      <c r="R503" s="306">
        <f t="shared" ca="1" si="223"/>
        <v>0</v>
      </c>
      <c r="S503" s="307">
        <f t="shared" ca="1" si="224"/>
        <v>0.4270000000000001</v>
      </c>
      <c r="T503" s="304">
        <f t="shared" ca="1" si="204"/>
        <v>4.1888700000000014</v>
      </c>
      <c r="U503" s="311">
        <f t="shared" ca="1" si="205"/>
        <v>0</v>
      </c>
      <c r="V503" s="306">
        <f t="shared" ca="1" si="206"/>
        <v>1.2254469984959497</v>
      </c>
      <c r="W503" s="304">
        <f t="shared" ca="1" si="207"/>
        <v>3.5466705685765443</v>
      </c>
      <c r="Y503" s="314" t="str">
        <f t="shared" ca="1" si="225"/>
        <v/>
      </c>
      <c r="Z503" s="315" t="str">
        <f t="shared" ca="1" si="226"/>
        <v/>
      </c>
      <c r="AA503" s="316" t="str">
        <f t="shared" ca="1" si="227"/>
        <v/>
      </c>
      <c r="AC503" s="310" t="e">
        <f t="shared" ca="1" si="228"/>
        <v>#N/A</v>
      </c>
      <c r="AD503" s="323" t="e">
        <f t="shared" ca="1" si="229"/>
        <v>#N/A</v>
      </c>
      <c r="AE503" s="324" t="e">
        <f t="shared" ca="1" si="208"/>
        <v>#N/A</v>
      </c>
      <c r="AG503" s="306">
        <f t="shared" ca="1" si="230"/>
        <v>1.4788556764504417</v>
      </c>
      <c r="AH503" s="304">
        <f t="shared" ca="1" si="231"/>
        <v>-8.3059687672739386</v>
      </c>
    </row>
    <row r="504" spans="1:34" x14ac:dyDescent="0.3">
      <c r="A504" s="347">
        <f t="shared" ca="1" si="209"/>
        <v>1E-4</v>
      </c>
      <c r="B504" s="304">
        <f t="shared" ca="1" si="210"/>
        <v>16.115899999999925</v>
      </c>
      <c r="D504" s="306">
        <f t="shared" ca="1" si="211"/>
        <v>-0.59467005602876555</v>
      </c>
      <c r="E504" s="307">
        <f t="shared" ca="1" si="212"/>
        <v>-1.5252950036463737</v>
      </c>
      <c r="F504" s="304">
        <f t="shared" ca="1" si="213"/>
        <v>1.6371186040375469</v>
      </c>
      <c r="G504" s="306">
        <f t="shared" ca="1" si="214"/>
        <v>3.7448925545773717</v>
      </c>
      <c r="H504" s="307">
        <f t="shared" ca="1" si="215"/>
        <v>-52.173323870100461</v>
      </c>
      <c r="I504" s="304">
        <f t="shared" ca="1" si="216"/>
        <v>52.307551499756933</v>
      </c>
      <c r="J504" s="306">
        <f t="shared" ca="1" si="217"/>
        <v>150.09587023194715</v>
      </c>
      <c r="K504" s="307">
        <f t="shared" ca="1" si="218"/>
        <v>-3.6535190119547289</v>
      </c>
      <c r="L504" s="304">
        <f t="shared" ca="1" si="203"/>
        <v>150.14032923187636</v>
      </c>
      <c r="M504" s="306">
        <f t="shared" ca="1" si="219"/>
        <v>-1.4991412975656424</v>
      </c>
      <c r="N504" s="304">
        <f t="shared" ca="1" si="220"/>
        <v>-85.89446924427719</v>
      </c>
      <c r="P504" s="310">
        <f t="shared" ca="1" si="221"/>
        <v>23</v>
      </c>
      <c r="Q504" s="304">
        <f t="shared" ca="1" si="222"/>
        <v>0</v>
      </c>
      <c r="R504" s="306">
        <f t="shared" ca="1" si="223"/>
        <v>0</v>
      </c>
      <c r="S504" s="307">
        <f t="shared" ca="1" si="224"/>
        <v>0.4270000000000001</v>
      </c>
      <c r="T504" s="304">
        <f t="shared" ca="1" si="204"/>
        <v>4.1888700000000014</v>
      </c>
      <c r="U504" s="311">
        <f t="shared" ca="1" si="205"/>
        <v>0</v>
      </c>
      <c r="V504" s="306">
        <f t="shared" ca="1" si="206"/>
        <v>1.2254476378516344</v>
      </c>
      <c r="W504" s="304">
        <f t="shared" ca="1" si="207"/>
        <v>3.5466924729282359</v>
      </c>
      <c r="Y504" s="314" t="str">
        <f t="shared" ca="1" si="225"/>
        <v/>
      </c>
      <c r="Z504" s="315" t="str">
        <f t="shared" ca="1" si="226"/>
        <v/>
      </c>
      <c r="AA504" s="316" t="str">
        <f t="shared" ca="1" si="227"/>
        <v/>
      </c>
      <c r="AC504" s="310" t="e">
        <f t="shared" ca="1" si="228"/>
        <v>#N/A</v>
      </c>
      <c r="AD504" s="323" t="e">
        <f t="shared" ca="1" si="229"/>
        <v>#N/A</v>
      </c>
      <c r="AE504" s="324" t="e">
        <f t="shared" ca="1" si="208"/>
        <v>#N/A</v>
      </c>
      <c r="AG504" s="306">
        <f t="shared" ca="1" si="230"/>
        <v>1.4788053198905775</v>
      </c>
      <c r="AH504" s="304">
        <f t="shared" ca="1" si="231"/>
        <v>-8.3060200669239901</v>
      </c>
    </row>
    <row r="505" spans="1:34" x14ac:dyDescent="0.3">
      <c r="A505" s="347">
        <f t="shared" ca="1" si="209"/>
        <v>1E-4</v>
      </c>
      <c r="B505" s="304">
        <f t="shared" ca="1" si="210"/>
        <v>16.115999999999925</v>
      </c>
      <c r="D505" s="306">
        <f t="shared" ca="1" si="211"/>
        <v>-0.59466260456415365</v>
      </c>
      <c r="E505" s="307">
        <f t="shared" ca="1" si="212"/>
        <v>-1.5252430385644331</v>
      </c>
      <c r="F505" s="304">
        <f t="shared" ca="1" si="213"/>
        <v>1.6370674817967303</v>
      </c>
      <c r="G505" s="306">
        <f t="shared" ca="1" si="214"/>
        <v>3.7448330883169154</v>
      </c>
      <c r="H505" s="307">
        <f t="shared" ca="1" si="215"/>
        <v>-52.173476394404318</v>
      </c>
      <c r="I505" s="304">
        <f t="shared" ca="1" si="216"/>
        <v>52.307699375300551</v>
      </c>
      <c r="J505" s="306">
        <f t="shared" ca="1" si="217"/>
        <v>150.09587023194715</v>
      </c>
      <c r="K505" s="307">
        <f t="shared" ca="1" si="218"/>
        <v>-3.6587363519679541</v>
      </c>
      <c r="L505" s="304">
        <f t="shared" ca="1" si="203"/>
        <v>150.14045628137251</v>
      </c>
      <c r="M505" s="306">
        <f t="shared" ca="1" si="219"/>
        <v>-1.499142640263694</v>
      </c>
      <c r="N505" s="304">
        <f t="shared" ca="1" si="220"/>
        <v>-85.894546175208703</v>
      </c>
      <c r="P505" s="310">
        <f t="shared" ca="1" si="221"/>
        <v>23</v>
      </c>
      <c r="Q505" s="304">
        <f t="shared" ca="1" si="222"/>
        <v>0</v>
      </c>
      <c r="R505" s="306">
        <f t="shared" ca="1" si="223"/>
        <v>0</v>
      </c>
      <c r="S505" s="307">
        <f t="shared" ca="1" si="224"/>
        <v>0.4270000000000001</v>
      </c>
      <c r="T505" s="304">
        <f t="shared" ca="1" si="204"/>
        <v>4.1888700000000014</v>
      </c>
      <c r="U505" s="311">
        <f t="shared" ca="1" si="205"/>
        <v>0</v>
      </c>
      <c r="V505" s="306">
        <f t="shared" ca="1" si="206"/>
        <v>1.2254482772095223</v>
      </c>
      <c r="W505" s="304">
        <f t="shared" ca="1" si="207"/>
        <v>3.5467143766810603</v>
      </c>
      <c r="Y505" s="314" t="str">
        <f t="shared" ca="1" si="225"/>
        <v/>
      </c>
      <c r="Z505" s="315" t="str">
        <f t="shared" ca="1" si="226"/>
        <v/>
      </c>
      <c r="AA505" s="316" t="str">
        <f t="shared" ca="1" si="227"/>
        <v/>
      </c>
      <c r="AC505" s="310" t="e">
        <f t="shared" ca="1" si="228"/>
        <v>#N/A</v>
      </c>
      <c r="AD505" s="323" t="e">
        <f t="shared" ca="1" si="229"/>
        <v>#N/A</v>
      </c>
      <c r="AE505" s="324" t="e">
        <f t="shared" ca="1" si="208"/>
        <v>#N/A</v>
      </c>
      <c r="AG505" s="306">
        <f t="shared" ca="1" si="230"/>
        <v>1.4787549646952964</v>
      </c>
      <c r="AH505" s="304">
        <f t="shared" ca="1" si="231"/>
        <v>-8.3060713651715101</v>
      </c>
    </row>
    <row r="506" spans="1:34" x14ac:dyDescent="0.3">
      <c r="A506" s="347">
        <f t="shared" ca="1" si="209"/>
        <v>1E-4</v>
      </c>
      <c r="B506" s="304">
        <f t="shared" ca="1" si="210"/>
        <v>16.116099999999925</v>
      </c>
      <c r="D506" s="306">
        <f t="shared" ca="1" si="211"/>
        <v>-0.59465515310019879</v>
      </c>
      <c r="E506" s="307">
        <f t="shared" ca="1" si="212"/>
        <v>-1.5251910749036597</v>
      </c>
      <c r="F506" s="304">
        <f t="shared" ca="1" si="213"/>
        <v>1.6370163609672328</v>
      </c>
      <c r="G506" s="306">
        <f t="shared" ca="1" si="214"/>
        <v>3.7447736228016053</v>
      </c>
      <c r="H506" s="307">
        <f t="shared" ca="1" si="215"/>
        <v>-52.173628913511806</v>
      </c>
      <c r="I506" s="304">
        <f t="shared" ca="1" si="216"/>
        <v>52.30784724580878</v>
      </c>
      <c r="J506" s="306">
        <f t="shared" ca="1" si="217"/>
        <v>150.09587023194715</v>
      </c>
      <c r="K506" s="307">
        <f t="shared" ca="1" si="218"/>
        <v>-3.6639537072333499</v>
      </c>
      <c r="L506" s="304">
        <f t="shared" ca="1" si="203"/>
        <v>150.14058351243432</v>
      </c>
      <c r="M506" s="306">
        <f t="shared" ca="1" si="219"/>
        <v>-1.4991439829328335</v>
      </c>
      <c r="N506" s="304">
        <f t="shared" ca="1" si="220"/>
        <v>-85.894623104483671</v>
      </c>
      <c r="P506" s="310">
        <f t="shared" ca="1" si="221"/>
        <v>23</v>
      </c>
      <c r="Q506" s="304">
        <f t="shared" ca="1" si="222"/>
        <v>0</v>
      </c>
      <c r="R506" s="306">
        <f t="shared" ca="1" si="223"/>
        <v>0</v>
      </c>
      <c r="S506" s="307">
        <f t="shared" ca="1" si="224"/>
        <v>0.4270000000000001</v>
      </c>
      <c r="T506" s="304">
        <f t="shared" ca="1" si="204"/>
        <v>4.1888700000000014</v>
      </c>
      <c r="U506" s="311">
        <f t="shared" ca="1" si="205"/>
        <v>0</v>
      </c>
      <c r="V506" s="306">
        <f t="shared" ca="1" si="206"/>
        <v>1.2254489165696127</v>
      </c>
      <c r="W506" s="304">
        <f t="shared" ca="1" si="207"/>
        <v>3.546736279835025</v>
      </c>
      <c r="Y506" s="314" t="str">
        <f t="shared" ca="1" si="225"/>
        <v/>
      </c>
      <c r="Z506" s="315" t="str">
        <f t="shared" ca="1" si="226"/>
        <v/>
      </c>
      <c r="AA506" s="316" t="str">
        <f t="shared" ca="1" si="227"/>
        <v/>
      </c>
      <c r="AC506" s="310" t="e">
        <f t="shared" ca="1" si="228"/>
        <v>#N/A</v>
      </c>
      <c r="AD506" s="323" t="e">
        <f t="shared" ca="1" si="229"/>
        <v>#N/A</v>
      </c>
      <c r="AE506" s="324" t="e">
        <f t="shared" ca="1" si="208"/>
        <v>#N/A</v>
      </c>
      <c r="AG506" s="306">
        <f t="shared" ca="1" si="230"/>
        <v>1.4787046108645665</v>
      </c>
      <c r="AH506" s="304">
        <f t="shared" ca="1" si="231"/>
        <v>-8.3061226620165325</v>
      </c>
    </row>
    <row r="507" spans="1:34" x14ac:dyDescent="0.3">
      <c r="A507" s="347">
        <f t="shared" ca="1" si="209"/>
        <v>1E-4</v>
      </c>
      <c r="B507" s="304">
        <f t="shared" ca="1" si="210"/>
        <v>16.116199999999925</v>
      </c>
      <c r="D507" s="306">
        <f t="shared" ca="1" si="211"/>
        <v>-0.59464770163690173</v>
      </c>
      <c r="E507" s="307">
        <f t="shared" ca="1" si="212"/>
        <v>-1.5251391126640357</v>
      </c>
      <c r="F507" s="304">
        <f t="shared" ca="1" si="213"/>
        <v>1.6369652415490354</v>
      </c>
      <c r="G507" s="306">
        <f t="shared" ca="1" si="214"/>
        <v>3.7447141580314418</v>
      </c>
      <c r="H507" s="307">
        <f t="shared" ca="1" si="215"/>
        <v>-52.173781427423073</v>
      </c>
      <c r="I507" s="304">
        <f t="shared" ca="1" si="216"/>
        <v>52.30799511128177</v>
      </c>
      <c r="J507" s="306">
        <f t="shared" ca="1" si="217"/>
        <v>150.09587023194715</v>
      </c>
      <c r="K507" s="307">
        <f t="shared" ca="1" si="218"/>
        <v>-3.6691710777503967</v>
      </c>
      <c r="L507" s="304">
        <f t="shared" ca="1" si="203"/>
        <v>150.14071092506296</v>
      </c>
      <c r="M507" s="306">
        <f t="shared" ca="1" si="219"/>
        <v>-1.4991453255730609</v>
      </c>
      <c r="N507" s="304">
        <f t="shared" ca="1" si="220"/>
        <v>-85.894700032102108</v>
      </c>
      <c r="P507" s="310">
        <f t="shared" ca="1" si="221"/>
        <v>23</v>
      </c>
      <c r="Q507" s="304">
        <f t="shared" ca="1" si="222"/>
        <v>0</v>
      </c>
      <c r="R507" s="306">
        <f t="shared" ca="1" si="223"/>
        <v>0</v>
      </c>
      <c r="S507" s="307">
        <f t="shared" ca="1" si="224"/>
        <v>0.4270000000000001</v>
      </c>
      <c r="T507" s="304">
        <f t="shared" ca="1" si="204"/>
        <v>4.1888700000000014</v>
      </c>
      <c r="U507" s="311">
        <f t="shared" ca="1" si="205"/>
        <v>0</v>
      </c>
      <c r="V507" s="306">
        <f t="shared" ca="1" si="206"/>
        <v>1.2254495559319054</v>
      </c>
      <c r="W507" s="304">
        <f t="shared" ca="1" si="207"/>
        <v>3.5467581823901448</v>
      </c>
      <c r="Y507" s="314" t="str">
        <f t="shared" ca="1" si="225"/>
        <v/>
      </c>
      <c r="Z507" s="315" t="str">
        <f t="shared" ca="1" si="226"/>
        <v/>
      </c>
      <c r="AA507" s="316" t="str">
        <f t="shared" ca="1" si="227"/>
        <v/>
      </c>
      <c r="AC507" s="310" t="e">
        <f t="shared" ca="1" si="228"/>
        <v>#N/A</v>
      </c>
      <c r="AD507" s="323" t="e">
        <f t="shared" ca="1" si="229"/>
        <v>#N/A</v>
      </c>
      <c r="AE507" s="324" t="e">
        <f t="shared" ca="1" si="208"/>
        <v>#N/A</v>
      </c>
      <c r="AG507" s="306">
        <f t="shared" ca="1" si="230"/>
        <v>1.4786542583983699</v>
      </c>
      <c r="AH507" s="304">
        <f t="shared" ca="1" si="231"/>
        <v>-8.3061739574590732</v>
      </c>
    </row>
    <row r="508" spans="1:34" x14ac:dyDescent="0.3">
      <c r="A508" s="347">
        <f t="shared" ca="1" si="209"/>
        <v>1E-4</v>
      </c>
      <c r="B508" s="304">
        <f t="shared" ca="1" si="210"/>
        <v>16.116299999999924</v>
      </c>
      <c r="D508" s="306">
        <f t="shared" ca="1" si="211"/>
        <v>-0.59464025017427269</v>
      </c>
      <c r="E508" s="307">
        <f t="shared" ca="1" si="212"/>
        <v>-1.5250871518455273</v>
      </c>
      <c r="F508" s="304">
        <f t="shared" ca="1" si="213"/>
        <v>1.636914123542107</v>
      </c>
      <c r="G508" s="306">
        <f t="shared" ca="1" si="214"/>
        <v>3.7446546940064245</v>
      </c>
      <c r="H508" s="307">
        <f t="shared" ca="1" si="215"/>
        <v>-52.173933936138255</v>
      </c>
      <c r="I508" s="304">
        <f t="shared" ca="1" si="216"/>
        <v>52.30814297171964</v>
      </c>
      <c r="J508" s="306">
        <f t="shared" ca="1" si="217"/>
        <v>150.09587023194715</v>
      </c>
      <c r="K508" s="307">
        <f t="shared" ca="1" si="218"/>
        <v>-3.6743884635185746</v>
      </c>
      <c r="L508" s="304">
        <f t="shared" ca="1" si="203"/>
        <v>150.14083851925949</v>
      </c>
      <c r="M508" s="306">
        <f t="shared" ca="1" si="219"/>
        <v>-1.4991466681843777</v>
      </c>
      <c r="N508" s="304">
        <f t="shared" ca="1" si="220"/>
        <v>-85.894776958064085</v>
      </c>
      <c r="P508" s="310">
        <f t="shared" ca="1" si="221"/>
        <v>23</v>
      </c>
      <c r="Q508" s="304">
        <f t="shared" ca="1" si="222"/>
        <v>0</v>
      </c>
      <c r="R508" s="306">
        <f t="shared" ca="1" si="223"/>
        <v>0</v>
      </c>
      <c r="S508" s="307">
        <f t="shared" ca="1" si="224"/>
        <v>0.4270000000000001</v>
      </c>
      <c r="T508" s="304">
        <f t="shared" ca="1" si="204"/>
        <v>4.1888700000000014</v>
      </c>
      <c r="U508" s="311">
        <f t="shared" ca="1" si="205"/>
        <v>0</v>
      </c>
      <c r="V508" s="306">
        <f t="shared" ca="1" si="206"/>
        <v>1.2254501952964012</v>
      </c>
      <c r="W508" s="304">
        <f t="shared" ca="1" si="207"/>
        <v>3.5467800843464303</v>
      </c>
      <c r="Y508" s="314" t="str">
        <f t="shared" ca="1" si="225"/>
        <v/>
      </c>
      <c r="Z508" s="315" t="str">
        <f t="shared" ca="1" si="226"/>
        <v/>
      </c>
      <c r="AA508" s="316" t="str">
        <f t="shared" ca="1" si="227"/>
        <v/>
      </c>
      <c r="AC508" s="310" t="e">
        <f t="shared" ca="1" si="228"/>
        <v>#N/A</v>
      </c>
      <c r="AD508" s="323" t="e">
        <f t="shared" ca="1" si="229"/>
        <v>#N/A</v>
      </c>
      <c r="AE508" s="324" t="e">
        <f t="shared" ca="1" si="208"/>
        <v>#N/A</v>
      </c>
      <c r="AG508" s="306">
        <f t="shared" ca="1" si="230"/>
        <v>1.4786039072966783</v>
      </c>
      <c r="AH508" s="304">
        <f t="shared" ca="1" si="231"/>
        <v>-8.3062252514991659</v>
      </c>
    </row>
    <row r="509" spans="1:34" x14ac:dyDescent="0.3">
      <c r="A509" s="347">
        <f t="shared" ca="1" si="209"/>
        <v>1E-4</v>
      </c>
      <c r="B509" s="304">
        <f t="shared" ca="1" si="210"/>
        <v>16.116399999999924</v>
      </c>
      <c r="D509" s="306">
        <f t="shared" ca="1" si="211"/>
        <v>-0.594632798712313</v>
      </c>
      <c r="E509" s="307">
        <f t="shared" ca="1" si="212"/>
        <v>-1.525035192448108</v>
      </c>
      <c r="F509" s="304">
        <f t="shared" ca="1" si="213"/>
        <v>1.6368630069464201</v>
      </c>
      <c r="G509" s="306">
        <f t="shared" ca="1" si="214"/>
        <v>3.7445952307265533</v>
      </c>
      <c r="H509" s="307">
        <f t="shared" ca="1" si="215"/>
        <v>-52.174086439657501</v>
      </c>
      <c r="I509" s="304">
        <f t="shared" ca="1" si="216"/>
        <v>52.308290827122548</v>
      </c>
      <c r="J509" s="306">
        <f t="shared" ca="1" si="217"/>
        <v>150.09587023194715</v>
      </c>
      <c r="K509" s="307">
        <f t="shared" ca="1" si="218"/>
        <v>-3.6796058645373644</v>
      </c>
      <c r="L509" s="304">
        <f t="shared" ca="1" si="203"/>
        <v>150.14096629502507</v>
      </c>
      <c r="M509" s="306">
        <f t="shared" ca="1" si="219"/>
        <v>-1.4991480107667843</v>
      </c>
      <c r="N509" s="304">
        <f t="shared" ca="1" si="220"/>
        <v>-85.894853882369631</v>
      </c>
      <c r="P509" s="310">
        <f t="shared" ca="1" si="221"/>
        <v>23</v>
      </c>
      <c r="Q509" s="304">
        <f t="shared" ca="1" si="222"/>
        <v>0</v>
      </c>
      <c r="R509" s="306">
        <f t="shared" ca="1" si="223"/>
        <v>0</v>
      </c>
      <c r="S509" s="307">
        <f t="shared" ca="1" si="224"/>
        <v>0.4270000000000001</v>
      </c>
      <c r="T509" s="304">
        <f t="shared" ca="1" si="204"/>
        <v>4.1888700000000014</v>
      </c>
      <c r="U509" s="311">
        <f t="shared" ca="1" si="205"/>
        <v>0</v>
      </c>
      <c r="V509" s="306">
        <f t="shared" ca="1" si="206"/>
        <v>1.2254508346630995</v>
      </c>
      <c r="W509" s="304">
        <f t="shared" ca="1" si="207"/>
        <v>3.5468019857038953</v>
      </c>
      <c r="Y509" s="314" t="str">
        <f t="shared" ca="1" si="225"/>
        <v/>
      </c>
      <c r="Z509" s="315" t="str">
        <f t="shared" ca="1" si="226"/>
        <v/>
      </c>
      <c r="AA509" s="316" t="str">
        <f t="shared" ca="1" si="227"/>
        <v/>
      </c>
      <c r="AC509" s="310" t="e">
        <f t="shared" ca="1" si="228"/>
        <v>#N/A</v>
      </c>
      <c r="AD509" s="323" t="e">
        <f t="shared" ca="1" si="229"/>
        <v>#N/A</v>
      </c>
      <c r="AE509" s="324" t="e">
        <f t="shared" ca="1" si="208"/>
        <v>#N/A</v>
      </c>
      <c r="AG509" s="306">
        <f t="shared" ca="1" si="230"/>
        <v>1.478553557559465</v>
      </c>
      <c r="AH509" s="304">
        <f t="shared" ca="1" si="231"/>
        <v>-8.3062765441368374</v>
      </c>
    </row>
    <row r="510" spans="1:34" x14ac:dyDescent="0.3">
      <c r="A510" s="347">
        <f t="shared" ca="1" si="209"/>
        <v>1E-4</v>
      </c>
      <c r="B510" s="304">
        <f t="shared" ca="1" si="210"/>
        <v>16.116499999999924</v>
      </c>
      <c r="D510" s="306">
        <f t="shared" ca="1" si="211"/>
        <v>-0.59462534725103122</v>
      </c>
      <c r="E510" s="307">
        <f t="shared" ca="1" si="212"/>
        <v>-1.5249832344717476</v>
      </c>
      <c r="F510" s="304">
        <f t="shared" ca="1" si="213"/>
        <v>1.6368118917619465</v>
      </c>
      <c r="G510" s="306">
        <f t="shared" ca="1" si="214"/>
        <v>3.7445357681918283</v>
      </c>
      <c r="H510" s="307">
        <f t="shared" ca="1" si="215"/>
        <v>-52.174238937980945</v>
      </c>
      <c r="I510" s="304">
        <f t="shared" ca="1" si="216"/>
        <v>52.308438677490606</v>
      </c>
      <c r="J510" s="306">
        <f t="shared" ca="1" si="217"/>
        <v>150.09587023194715</v>
      </c>
      <c r="K510" s="307">
        <f t="shared" ca="1" si="218"/>
        <v>-3.6848232808062464</v>
      </c>
      <c r="L510" s="304">
        <f t="shared" ca="1" si="203"/>
        <v>150.1410942523608</v>
      </c>
      <c r="M510" s="306">
        <f t="shared" ca="1" si="219"/>
        <v>-1.4991493533202818</v>
      </c>
      <c r="N510" s="304">
        <f t="shared" ca="1" si="220"/>
        <v>-85.894930805018816</v>
      </c>
      <c r="P510" s="310">
        <f t="shared" ca="1" si="221"/>
        <v>23</v>
      </c>
      <c r="Q510" s="304">
        <f t="shared" ca="1" si="222"/>
        <v>0</v>
      </c>
      <c r="R510" s="306">
        <f t="shared" ca="1" si="223"/>
        <v>0</v>
      </c>
      <c r="S510" s="307">
        <f t="shared" ca="1" si="224"/>
        <v>0.4270000000000001</v>
      </c>
      <c r="T510" s="304">
        <f t="shared" ca="1" si="204"/>
        <v>4.1888700000000014</v>
      </c>
      <c r="U510" s="311">
        <f t="shared" ca="1" si="205"/>
        <v>0</v>
      </c>
      <c r="V510" s="306">
        <f t="shared" ca="1" si="206"/>
        <v>1.2254514740320002</v>
      </c>
      <c r="W510" s="304">
        <f t="shared" ca="1" si="207"/>
        <v>3.546823886462549</v>
      </c>
      <c r="Y510" s="314" t="str">
        <f t="shared" ca="1" si="225"/>
        <v/>
      </c>
      <c r="Z510" s="315" t="str">
        <f t="shared" ca="1" si="226"/>
        <v/>
      </c>
      <c r="AA510" s="316" t="str">
        <f t="shared" ca="1" si="227"/>
        <v/>
      </c>
      <c r="AC510" s="310" t="e">
        <f t="shared" ca="1" si="228"/>
        <v>#N/A</v>
      </c>
      <c r="AD510" s="323" t="e">
        <f t="shared" ca="1" si="229"/>
        <v>#N/A</v>
      </c>
      <c r="AE510" s="324" t="e">
        <f t="shared" ca="1" si="208"/>
        <v>#N/A</v>
      </c>
      <c r="AG510" s="306">
        <f t="shared" ca="1" si="230"/>
        <v>1.4785032091867034</v>
      </c>
      <c r="AH510" s="304">
        <f t="shared" ca="1" si="231"/>
        <v>-8.3063278353721177</v>
      </c>
    </row>
    <row r="511" spans="1:34" x14ac:dyDescent="0.3">
      <c r="A511" s="347">
        <f t="shared" ca="1" si="209"/>
        <v>1E-4</v>
      </c>
      <c r="B511" s="304">
        <f t="shared" ca="1" si="210"/>
        <v>16.116599999999924</v>
      </c>
      <c r="D511" s="306">
        <f t="shared" ca="1" si="211"/>
        <v>-0.5946178957904299</v>
      </c>
      <c r="E511" s="307">
        <f t="shared" ca="1" si="212"/>
        <v>-1.524931277916421</v>
      </c>
      <c r="F511" s="304">
        <f t="shared" ca="1" si="213"/>
        <v>1.6367607779886613</v>
      </c>
      <c r="G511" s="306">
        <f t="shared" ca="1" si="214"/>
        <v>3.7444763064022495</v>
      </c>
      <c r="H511" s="307">
        <f t="shared" ca="1" si="215"/>
        <v>-52.174391431108738</v>
      </c>
      <c r="I511" s="304">
        <f t="shared" ca="1" si="216"/>
        <v>52.308586522823965</v>
      </c>
      <c r="J511" s="306">
        <f t="shared" ca="1" si="217"/>
        <v>150.09587023194715</v>
      </c>
      <c r="K511" s="307">
        <f t="shared" ca="1" si="218"/>
        <v>-3.6900407123247008</v>
      </c>
      <c r="L511" s="304">
        <f t="shared" ca="1" si="203"/>
        <v>150.14122239126777</v>
      </c>
      <c r="M511" s="306">
        <f t="shared" ca="1" si="219"/>
        <v>-1.4991506958448708</v>
      </c>
      <c r="N511" s="304">
        <f t="shared" ca="1" si="220"/>
        <v>-85.895007726011656</v>
      </c>
      <c r="P511" s="310">
        <f t="shared" ca="1" si="221"/>
        <v>23</v>
      </c>
      <c r="Q511" s="304">
        <f t="shared" ca="1" si="222"/>
        <v>0</v>
      </c>
      <c r="R511" s="306">
        <f t="shared" ca="1" si="223"/>
        <v>0</v>
      </c>
      <c r="S511" s="307">
        <f t="shared" ca="1" si="224"/>
        <v>0.4270000000000001</v>
      </c>
      <c r="T511" s="304">
        <f t="shared" ca="1" si="204"/>
        <v>4.1888700000000014</v>
      </c>
      <c r="U511" s="311">
        <f t="shared" ca="1" si="205"/>
        <v>0</v>
      </c>
      <c r="V511" s="306">
        <f t="shared" ca="1" si="206"/>
        <v>1.2254521134031029</v>
      </c>
      <c r="W511" s="304">
        <f t="shared" ca="1" si="207"/>
        <v>3.5468457866224017</v>
      </c>
      <c r="Y511" s="314" t="str">
        <f t="shared" ca="1" si="225"/>
        <v/>
      </c>
      <c r="Z511" s="315" t="str">
        <f t="shared" ca="1" si="226"/>
        <v/>
      </c>
      <c r="AA511" s="316" t="str">
        <f t="shared" ca="1" si="227"/>
        <v/>
      </c>
      <c r="AC511" s="310" t="e">
        <f t="shared" ca="1" si="228"/>
        <v>#N/A</v>
      </c>
      <c r="AD511" s="323" t="e">
        <f t="shared" ca="1" si="229"/>
        <v>#N/A</v>
      </c>
      <c r="AE511" s="324" t="e">
        <f t="shared" ca="1" si="208"/>
        <v>#N/A</v>
      </c>
      <c r="AG511" s="306">
        <f t="shared" ca="1" si="230"/>
        <v>1.4784528621783704</v>
      </c>
      <c r="AH511" s="304">
        <f t="shared" ca="1" si="231"/>
        <v>-8.3063791252050301</v>
      </c>
    </row>
    <row r="512" spans="1:34" x14ac:dyDescent="0.3">
      <c r="A512" s="347">
        <f t="shared" ca="1" si="209"/>
        <v>1E-4</v>
      </c>
      <c r="B512" s="304">
        <f t="shared" ca="1" si="210"/>
        <v>16.116699999999923</v>
      </c>
      <c r="D512" s="306">
        <f t="shared" ca="1" si="211"/>
        <v>-0.59461044433051546</v>
      </c>
      <c r="E512" s="307">
        <f t="shared" ca="1" si="212"/>
        <v>-1.5248793227821036</v>
      </c>
      <c r="F512" s="304">
        <f t="shared" ca="1" si="213"/>
        <v>1.6367096656265399</v>
      </c>
      <c r="G512" s="306">
        <f t="shared" ca="1" si="214"/>
        <v>3.7444168453578164</v>
      </c>
      <c r="H512" s="307">
        <f t="shared" ca="1" si="215"/>
        <v>-52.174543919041014</v>
      </c>
      <c r="I512" s="304">
        <f t="shared" ca="1" si="216"/>
        <v>52.308734363122753</v>
      </c>
      <c r="J512" s="306">
        <f t="shared" ca="1" si="217"/>
        <v>150.09587023194715</v>
      </c>
      <c r="K512" s="307">
        <f t="shared" ca="1" si="218"/>
        <v>-3.6952581590922082</v>
      </c>
      <c r="L512" s="304">
        <f t="shared" ca="1" si="203"/>
        <v>150.14135071174715</v>
      </c>
      <c r="M512" s="306">
        <f t="shared" ca="1" si="219"/>
        <v>-1.4991520383405523</v>
      </c>
      <c r="N512" s="304">
        <f t="shared" ca="1" si="220"/>
        <v>-85.89508464534822</v>
      </c>
      <c r="P512" s="310">
        <f t="shared" ca="1" si="221"/>
        <v>23</v>
      </c>
      <c r="Q512" s="304">
        <f t="shared" ca="1" si="222"/>
        <v>0</v>
      </c>
      <c r="R512" s="306">
        <f t="shared" ca="1" si="223"/>
        <v>0</v>
      </c>
      <c r="S512" s="307">
        <f t="shared" ca="1" si="224"/>
        <v>0.4270000000000001</v>
      </c>
      <c r="T512" s="304">
        <f t="shared" ca="1" si="204"/>
        <v>4.1888700000000014</v>
      </c>
      <c r="U512" s="311">
        <f t="shared" ca="1" si="205"/>
        <v>0</v>
      </c>
      <c r="V512" s="306">
        <f t="shared" ca="1" si="206"/>
        <v>1.2254527527764085</v>
      </c>
      <c r="W512" s="304">
        <f t="shared" ca="1" si="207"/>
        <v>3.546867686183468</v>
      </c>
      <c r="Y512" s="314" t="str">
        <f t="shared" ca="1" si="225"/>
        <v/>
      </c>
      <c r="Z512" s="315" t="str">
        <f t="shared" ca="1" si="226"/>
        <v/>
      </c>
      <c r="AA512" s="316" t="str">
        <f t="shared" ca="1" si="227"/>
        <v/>
      </c>
      <c r="AC512" s="310" t="e">
        <f t="shared" ca="1" si="228"/>
        <v>#N/A</v>
      </c>
      <c r="AD512" s="323" t="e">
        <f t="shared" ca="1" si="229"/>
        <v>#N/A</v>
      </c>
      <c r="AE512" s="324" t="e">
        <f t="shared" ca="1" si="208"/>
        <v>#N/A</v>
      </c>
      <c r="AG512" s="306">
        <f t="shared" ca="1" si="230"/>
        <v>1.4784025165344445</v>
      </c>
      <c r="AH512" s="304">
        <f t="shared" ca="1" si="231"/>
        <v>-8.3064304136355993</v>
      </c>
    </row>
    <row r="513" spans="1:34" x14ac:dyDescent="0.3">
      <c r="A513" s="347">
        <f t="shared" ca="1" si="209"/>
        <v>1E-4</v>
      </c>
      <c r="B513" s="304">
        <f t="shared" ca="1" si="210"/>
        <v>16.116799999999923</v>
      </c>
      <c r="D513" s="306">
        <f t="shared" ca="1" si="211"/>
        <v>-0.59460299287129292</v>
      </c>
      <c r="E513" s="307">
        <f t="shared" ca="1" si="212"/>
        <v>-1.524827369068765</v>
      </c>
      <c r="F513" s="304">
        <f t="shared" ca="1" si="213"/>
        <v>1.6366585546755532</v>
      </c>
      <c r="G513" s="306">
        <f t="shared" ca="1" si="214"/>
        <v>3.7443573850585294</v>
      </c>
      <c r="H513" s="307">
        <f t="shared" ca="1" si="215"/>
        <v>-52.174696401777922</v>
      </c>
      <c r="I513" s="304">
        <f t="shared" ca="1" si="216"/>
        <v>52.308882198387117</v>
      </c>
      <c r="J513" s="306">
        <f t="shared" ca="1" si="217"/>
        <v>150.09587023194715</v>
      </c>
      <c r="K513" s="307">
        <f t="shared" ca="1" si="218"/>
        <v>-3.7004756211082492</v>
      </c>
      <c r="L513" s="304">
        <f t="shared" ca="1" si="203"/>
        <v>150.14147921379998</v>
      </c>
      <c r="M513" s="306">
        <f t="shared" ca="1" si="219"/>
        <v>-1.4991533808073272</v>
      </c>
      <c r="N513" s="304">
        <f t="shared" ca="1" si="220"/>
        <v>-85.895161563028566</v>
      </c>
      <c r="P513" s="310">
        <f t="shared" ca="1" si="221"/>
        <v>23</v>
      </c>
      <c r="Q513" s="304">
        <f t="shared" ca="1" si="222"/>
        <v>0</v>
      </c>
      <c r="R513" s="306">
        <f t="shared" ca="1" si="223"/>
        <v>0</v>
      </c>
      <c r="S513" s="307">
        <f t="shared" ca="1" si="224"/>
        <v>0.4270000000000001</v>
      </c>
      <c r="T513" s="304">
        <f t="shared" ca="1" si="204"/>
        <v>4.1888700000000014</v>
      </c>
      <c r="U513" s="311">
        <f t="shared" ca="1" si="205"/>
        <v>0</v>
      </c>
      <c r="V513" s="306">
        <f t="shared" ca="1" si="206"/>
        <v>1.2254533921519164</v>
      </c>
      <c r="W513" s="304">
        <f t="shared" ca="1" si="207"/>
        <v>3.54688958514576</v>
      </c>
      <c r="Y513" s="314" t="str">
        <f t="shared" ca="1" si="225"/>
        <v/>
      </c>
      <c r="Z513" s="315" t="str">
        <f t="shared" ca="1" si="226"/>
        <v/>
      </c>
      <c r="AA513" s="316" t="str">
        <f t="shared" ca="1" si="227"/>
        <v/>
      </c>
      <c r="AC513" s="310" t="e">
        <f t="shared" ca="1" si="228"/>
        <v>#N/A</v>
      </c>
      <c r="AD513" s="323" t="e">
        <f t="shared" ca="1" si="229"/>
        <v>#N/A</v>
      </c>
      <c r="AE513" s="324" t="e">
        <f t="shared" ca="1" si="208"/>
        <v>#N/A</v>
      </c>
      <c r="AG513" s="306">
        <f t="shared" ca="1" si="230"/>
        <v>1.4783521722548905</v>
      </c>
      <c r="AH513" s="304">
        <f t="shared" ca="1" si="231"/>
        <v>-8.3064817006638574</v>
      </c>
    </row>
    <row r="514" spans="1:34" x14ac:dyDescent="0.3">
      <c r="A514" s="347">
        <f t="shared" ca="1" si="209"/>
        <v>1E-4</v>
      </c>
      <c r="B514" s="304">
        <f t="shared" ca="1" si="210"/>
        <v>16.116899999999923</v>
      </c>
      <c r="D514" s="306">
        <f t="shared" ca="1" si="211"/>
        <v>-0.59459554141276738</v>
      </c>
      <c r="E514" s="307">
        <f t="shared" ca="1" si="212"/>
        <v>-1.5247754167763716</v>
      </c>
      <c r="F514" s="304">
        <f t="shared" ca="1" si="213"/>
        <v>1.6366074451356685</v>
      </c>
      <c r="G514" s="306">
        <f t="shared" ca="1" si="214"/>
        <v>3.7442979255043882</v>
      </c>
      <c r="H514" s="307">
        <f t="shared" ca="1" si="215"/>
        <v>-52.174848879319597</v>
      </c>
      <c r="I514" s="304">
        <f t="shared" ca="1" si="216"/>
        <v>52.30903002861718</v>
      </c>
      <c r="J514" s="306">
        <f t="shared" ca="1" si="217"/>
        <v>150.09587023194715</v>
      </c>
      <c r="K514" s="307">
        <f t="shared" ca="1" si="218"/>
        <v>-3.7056930983723042</v>
      </c>
      <c r="L514" s="304">
        <f t="shared" ca="1" si="203"/>
        <v>150.14160789742743</v>
      </c>
      <c r="M514" s="306">
        <f t="shared" ca="1" si="219"/>
        <v>-1.4991547232451963</v>
      </c>
      <c r="N514" s="304">
        <f t="shared" ca="1" si="220"/>
        <v>-85.895238479052722</v>
      </c>
      <c r="P514" s="310">
        <f t="shared" ca="1" si="221"/>
        <v>23</v>
      </c>
      <c r="Q514" s="304">
        <f t="shared" ca="1" si="222"/>
        <v>0</v>
      </c>
      <c r="R514" s="306">
        <f t="shared" ca="1" si="223"/>
        <v>0</v>
      </c>
      <c r="S514" s="307">
        <f t="shared" ca="1" si="224"/>
        <v>0.4270000000000001</v>
      </c>
      <c r="T514" s="304">
        <f t="shared" ca="1" si="204"/>
        <v>4.1888700000000014</v>
      </c>
      <c r="U514" s="311">
        <f t="shared" ca="1" si="205"/>
        <v>0</v>
      </c>
      <c r="V514" s="306">
        <f t="shared" ca="1" si="206"/>
        <v>1.2254540315296258</v>
      </c>
      <c r="W514" s="304">
        <f t="shared" ca="1" si="207"/>
        <v>3.5469114835092843</v>
      </c>
      <c r="Y514" s="314" t="str">
        <f t="shared" ca="1" si="225"/>
        <v/>
      </c>
      <c r="Z514" s="315" t="str">
        <f t="shared" ca="1" si="226"/>
        <v/>
      </c>
      <c r="AA514" s="316" t="str">
        <f t="shared" ca="1" si="227"/>
        <v/>
      </c>
      <c r="AC514" s="310" t="e">
        <f t="shared" ca="1" si="228"/>
        <v>#N/A</v>
      </c>
      <c r="AD514" s="323" t="e">
        <f t="shared" ca="1" si="229"/>
        <v>#N/A</v>
      </c>
      <c r="AE514" s="324" t="e">
        <f t="shared" ca="1" si="208"/>
        <v>#N/A</v>
      </c>
      <c r="AG514" s="306">
        <f t="shared" ca="1" si="230"/>
        <v>1.478301829339685</v>
      </c>
      <c r="AH514" s="304">
        <f t="shared" ca="1" si="231"/>
        <v>-8.3065329862898345</v>
      </c>
    </row>
    <row r="515" spans="1:34" x14ac:dyDescent="0.3">
      <c r="A515" s="347">
        <f t="shared" ca="1" si="209"/>
        <v>1E-4</v>
      </c>
      <c r="B515" s="304">
        <f t="shared" ca="1" si="210"/>
        <v>16.116999999999923</v>
      </c>
      <c r="D515" s="306">
        <f t="shared" ca="1" si="211"/>
        <v>-0.5945880899549425</v>
      </c>
      <c r="E515" s="307">
        <f t="shared" ca="1" si="212"/>
        <v>-1.5247234659049091</v>
      </c>
      <c r="F515" s="304">
        <f t="shared" ca="1" si="213"/>
        <v>1.6365563370068705</v>
      </c>
      <c r="G515" s="306">
        <f t="shared" ca="1" si="214"/>
        <v>3.7442384666953927</v>
      </c>
      <c r="H515" s="307">
        <f t="shared" ca="1" si="215"/>
        <v>-52.175001351666189</v>
      </c>
      <c r="I515" s="304">
        <f t="shared" ca="1" si="216"/>
        <v>52.309177853813097</v>
      </c>
      <c r="J515" s="306">
        <f t="shared" ca="1" si="217"/>
        <v>150.09587023194715</v>
      </c>
      <c r="K515" s="307">
        <f t="shared" ca="1" si="218"/>
        <v>-3.7109105908838536</v>
      </c>
      <c r="L515" s="304">
        <f t="shared" ca="1" si="203"/>
        <v>150.14173676263056</v>
      </c>
      <c r="M515" s="306">
        <f t="shared" ca="1" si="219"/>
        <v>-1.49915606565416</v>
      </c>
      <c r="N515" s="304">
        <f t="shared" ca="1" si="220"/>
        <v>-85.895315393420717</v>
      </c>
      <c r="P515" s="310">
        <f t="shared" ca="1" si="221"/>
        <v>23</v>
      </c>
      <c r="Q515" s="304">
        <f t="shared" ca="1" si="222"/>
        <v>0</v>
      </c>
      <c r="R515" s="306">
        <f t="shared" ca="1" si="223"/>
        <v>0</v>
      </c>
      <c r="S515" s="307">
        <f t="shared" ca="1" si="224"/>
        <v>0.4270000000000001</v>
      </c>
      <c r="T515" s="304">
        <f t="shared" ca="1" si="204"/>
        <v>4.1888700000000014</v>
      </c>
      <c r="U515" s="311">
        <f t="shared" ca="1" si="205"/>
        <v>0</v>
      </c>
      <c r="V515" s="306">
        <f t="shared" ca="1" si="206"/>
        <v>1.2254546709095377</v>
      </c>
      <c r="W515" s="304">
        <f t="shared" ca="1" si="207"/>
        <v>3.5469333812740591</v>
      </c>
      <c r="Y515" s="314" t="str">
        <f t="shared" ca="1" si="225"/>
        <v/>
      </c>
      <c r="Z515" s="315" t="str">
        <f t="shared" ca="1" si="226"/>
        <v/>
      </c>
      <c r="AA515" s="316" t="str">
        <f t="shared" ca="1" si="227"/>
        <v/>
      </c>
      <c r="AC515" s="310" t="e">
        <f t="shared" ca="1" si="228"/>
        <v>#N/A</v>
      </c>
      <c r="AD515" s="323" t="e">
        <f t="shared" ca="1" si="229"/>
        <v>#N/A</v>
      </c>
      <c r="AE515" s="324" t="e">
        <f t="shared" ca="1" si="208"/>
        <v>#N/A</v>
      </c>
      <c r="AG515" s="306">
        <f t="shared" ca="1" si="230"/>
        <v>1.4782514877888158</v>
      </c>
      <c r="AH515" s="304">
        <f t="shared" ca="1" si="231"/>
        <v>-8.3065842705135449</v>
      </c>
    </row>
    <row r="516" spans="1:34" x14ac:dyDescent="0.3">
      <c r="A516" s="347">
        <f t="shared" ca="1" si="209"/>
        <v>1E-4</v>
      </c>
      <c r="B516" s="304">
        <f t="shared" ca="1" si="210"/>
        <v>16.117099999999922</v>
      </c>
      <c r="D516" s="306">
        <f t="shared" ca="1" si="211"/>
        <v>-0.59458063849782772</v>
      </c>
      <c r="E516" s="307">
        <f t="shared" ca="1" si="212"/>
        <v>-1.5246715164543367</v>
      </c>
      <c r="F516" s="304">
        <f t="shared" ca="1" si="213"/>
        <v>1.6365052302891216</v>
      </c>
      <c r="G516" s="306">
        <f t="shared" ca="1" si="214"/>
        <v>3.744179008631543</v>
      </c>
      <c r="H516" s="307">
        <f t="shared" ca="1" si="215"/>
        <v>-52.175153818817833</v>
      </c>
      <c r="I516" s="304">
        <f t="shared" ca="1" si="216"/>
        <v>52.309325673974982</v>
      </c>
      <c r="J516" s="306">
        <f t="shared" ca="1" si="217"/>
        <v>150.09587023194715</v>
      </c>
      <c r="K516" s="307">
        <f t="shared" ca="1" si="218"/>
        <v>-3.7161280986423777</v>
      </c>
      <c r="L516" s="304">
        <f t="shared" ref="L516:L579" ca="1" si="232">SQRT(pos_x^2+pos_z^2)</f>
        <v>150.14186580941052</v>
      </c>
      <c r="M516" s="306">
        <f t="shared" ca="1" si="219"/>
        <v>-1.4991574080342198</v>
      </c>
      <c r="N516" s="304">
        <f t="shared" ca="1" si="220"/>
        <v>-85.895392306132649</v>
      </c>
      <c r="P516" s="310">
        <f t="shared" ca="1" si="221"/>
        <v>23</v>
      </c>
      <c r="Q516" s="304">
        <f t="shared" ca="1" si="222"/>
        <v>0</v>
      </c>
      <c r="R516" s="306">
        <f t="shared" ca="1" si="223"/>
        <v>0</v>
      </c>
      <c r="S516" s="307">
        <f t="shared" ca="1" si="224"/>
        <v>0.4270000000000001</v>
      </c>
      <c r="T516" s="304">
        <f t="shared" ref="T516:T579" ca="1" si="233">m*g</f>
        <v>4.1888700000000014</v>
      </c>
      <c r="U516" s="311">
        <f t="shared" ref="U516:U579" ca="1" si="234">IF(pos_xz&lt;L_rampe,Poids*COS(Beta),0)</f>
        <v>0</v>
      </c>
      <c r="V516" s="306">
        <f t="shared" ref="V516:V579" ca="1" si="235">Rho_moyen*(20000-Alt_rampe-pos_z)/(20000+Alt_rampe+pos_z)</f>
        <v>1.2254553102916523</v>
      </c>
      <c r="W516" s="304">
        <f t="shared" ref="W516:W579" ca="1" si="236">1/2*Rho*Sref*Cx*vit_xz^2</f>
        <v>3.5469552784400924</v>
      </c>
      <c r="Y516" s="314" t="str">
        <f t="shared" ca="1" si="225"/>
        <v/>
      </c>
      <c r="Z516" s="315" t="str">
        <f t="shared" ca="1" si="226"/>
        <v/>
      </c>
      <c r="AA516" s="316" t="str">
        <f t="shared" ca="1" si="227"/>
        <v/>
      </c>
      <c r="AC516" s="310" t="e">
        <f t="shared" ca="1" si="228"/>
        <v>#N/A</v>
      </c>
      <c r="AD516" s="323" t="e">
        <f t="shared" ca="1" si="229"/>
        <v>#N/A</v>
      </c>
      <c r="AE516" s="324" t="e">
        <f t="shared" ref="AE516:AE579" ca="1" si="237">IF(t&lt;T_para, pos_z, NA())</f>
        <v>#N/A</v>
      </c>
      <c r="AG516" s="306">
        <f t="shared" ca="1" si="230"/>
        <v>1.4782011476022383</v>
      </c>
      <c r="AH516" s="304">
        <f t="shared" ca="1" si="231"/>
        <v>-8.3066355533350311</v>
      </c>
    </row>
    <row r="517" spans="1:34" x14ac:dyDescent="0.3">
      <c r="A517" s="347">
        <f t="shared" ref="A517:A580" ca="1" si="238">IF(B516+0.01&lt;=T_ini+ROUNDUP(Temps_fin_propu,0), 0.01, IF(K516&gt;0, 0.1, 0.0001))</f>
        <v>1E-4</v>
      </c>
      <c r="B517" s="304">
        <f t="shared" ref="B517:B580" ca="1" si="239">B516+pas</f>
        <v>16.117199999999922</v>
      </c>
      <c r="D517" s="306">
        <f t="shared" ref="D517:D580" ca="1" si="240">IF(AND(L516&lt;L_rampe,Poussee&lt;Poids*SIN(M516)),0,(-W516+Poussee)/m*COS(M516)-U516/m*SIN(M516))</f>
        <v>-0.59457318704142381</v>
      </c>
      <c r="E517" s="307">
        <f t="shared" ref="E517:E580" ca="1" si="241">IF(AND(L516&lt;L_rampe,Poussee&lt;Poids*SIN(M516)),0,(-W516+Poussee)/m*SIN(M516)+U516/m*COS(M516)-Poids/m)</f>
        <v>-1.5246195684246331</v>
      </c>
      <c r="F517" s="304">
        <f t="shared" ref="F517:F580" ca="1" si="242">SQRT(acc_x^2+acc_z^2)</f>
        <v>1.6364541249823994</v>
      </c>
      <c r="G517" s="306">
        <f t="shared" ref="G517:G580" ca="1" si="243">G516+acc_x*pas</f>
        <v>3.7441195513128389</v>
      </c>
      <c r="H517" s="307">
        <f t="shared" ref="H517:H580" ca="1" si="244">H516+acc_z*pas</f>
        <v>-52.175306280774677</v>
      </c>
      <c r="I517" s="304">
        <f t="shared" ref="I517:I580" ca="1" si="245">SQRT(vit_x^2+vit_z^2)</f>
        <v>52.309473489102992</v>
      </c>
      <c r="J517" s="306">
        <f t="shared" ref="J517:J580" ca="1" si="246">J516+0.5*(vit_x+G516)*pas*(K516&gt;=0)</f>
        <v>150.09587023194715</v>
      </c>
      <c r="K517" s="307">
        <f t="shared" ref="K517:K580" ca="1" si="247">K516+0.5*(vit_z+H516)*pas</f>
        <v>-3.7213456216473575</v>
      </c>
      <c r="L517" s="304">
        <f t="shared" ca="1" si="232"/>
        <v>150.1419950377684</v>
      </c>
      <c r="M517" s="306">
        <f t="shared" ref="M517:M580" ca="1" si="248">IF(AND(L516&gt;L_rampe,G517&gt;0),ATAN2(G517,H517),$M$4)</f>
        <v>-1.499158750385376</v>
      </c>
      <c r="N517" s="304">
        <f t="shared" ref="N517:N580" ca="1" si="249">DEGREES(Beta)</f>
        <v>-85.89546921718852</v>
      </c>
      <c r="P517" s="310">
        <f t="shared" ref="P517:P580" ca="1" si="250">MATCH(t-pas/2-T_ini,CdP_t)</f>
        <v>23</v>
      </c>
      <c r="Q517" s="304">
        <f t="shared" ref="Q517:Q580" ca="1" si="251">(INDEX(CdP,2,i_P+1)-INDEX(CdP,2,i_P+0))/(INDEX(CdP,1,i_P+1)-INDEX(CdP,1,i_P+0))*(t-pas/2-T_ini-INDEX(CdP,1,i_P+0))+INDEX(CdP,2,i_P+0)</f>
        <v>0</v>
      </c>
      <c r="R517" s="306">
        <f t="shared" ref="R517:R580" ca="1" si="252">Poussee/(g*ISP)</f>
        <v>0</v>
      </c>
      <c r="S517" s="307">
        <f t="shared" ref="S517:S580" ca="1" si="253">S516-Débit*pas</f>
        <v>0.4270000000000001</v>
      </c>
      <c r="T517" s="304">
        <f t="shared" ca="1" si="233"/>
        <v>4.1888700000000014</v>
      </c>
      <c r="U517" s="311">
        <f t="shared" ca="1" si="234"/>
        <v>0</v>
      </c>
      <c r="V517" s="306">
        <f t="shared" ca="1" si="235"/>
        <v>1.2254559496759687</v>
      </c>
      <c r="W517" s="304">
        <f t="shared" ca="1" si="236"/>
        <v>3.5469771750073984</v>
      </c>
      <c r="Y517" s="314" t="str">
        <f t="shared" ref="Y517:Y580" ca="1" si="254">IF(AND(pos_z&lt;=0,K516&gt;0),"Impact balistique","") &amp; IF(AND(H518&lt;0,vit_z&gt;=0),"Apogée","") &amp; IF(AND(Poussee=0,Q516&gt;0),"Fin de propulsion","") &amp; IF(AND(L518&gt;L_rampe,pos_xz&lt;=L_rampe),"Sortie de rampe","")</f>
        <v/>
      </c>
      <c r="Z517" s="315" t="str">
        <f t="shared" ref="Z517:Z580" ca="1" si="255">IF(ABS(t-T_para)&lt;pas/2,"Para","")</f>
        <v/>
      </c>
      <c r="AA517" s="316" t="str">
        <f t="shared" ref="AA517:AA580" ca="1" si="256">IF(ABS(t-T_satellite)&lt;pas/2,"Satellite","")</f>
        <v/>
      </c>
      <c r="AC517" s="310" t="e">
        <f t="shared" ref="AC517:AC580" ca="1" si="257">IF(ABS(t-ROUND(t,0))&lt;0.001,t,NA())</f>
        <v>#N/A</v>
      </c>
      <c r="AD517" s="323" t="e">
        <f t="shared" ref="AD517:AD580" ca="1" si="258">IF(ABS(t-ROUND(t,0))&lt;0.001,pos_x,NA())</f>
        <v>#N/A</v>
      </c>
      <c r="AE517" s="324" t="e">
        <f t="shared" ca="1" si="237"/>
        <v>#N/A</v>
      </c>
      <c r="AG517" s="306">
        <f t="shared" ref="AG517:AG580" ca="1" si="259">IF(AND(L516&lt;L_rampe,Poussee&lt;Poids*SIN(M516)),0,(-W516+Poussee)/m-Poids*SIN(M516)/m)</f>
        <v>1.4781508087799367</v>
      </c>
      <c r="AH517" s="304">
        <f t="shared" ref="AH517:AH580" ca="1" si="260">IF(AND(L516&lt;L_rampe,Poussee&lt;Poids*SIN(M516)), g*SIN(M516), (-W516+Poussee)/m)</f>
        <v>-8.3066868347543128</v>
      </c>
    </row>
    <row r="518" spans="1:34" x14ac:dyDescent="0.3">
      <c r="A518" s="347">
        <f t="shared" ca="1" si="238"/>
        <v>1E-4</v>
      </c>
      <c r="B518" s="304">
        <f t="shared" ca="1" si="239"/>
        <v>16.117299999999922</v>
      </c>
      <c r="D518" s="306">
        <f t="shared" ca="1" si="240"/>
        <v>-0.59456573558573933</v>
      </c>
      <c r="E518" s="307">
        <f t="shared" ca="1" si="241"/>
        <v>-1.5245676218157644</v>
      </c>
      <c r="F518" s="304">
        <f t="shared" ca="1" si="242"/>
        <v>1.636403021086672</v>
      </c>
      <c r="G518" s="306">
        <f t="shared" ca="1" si="243"/>
        <v>3.7440600947392801</v>
      </c>
      <c r="H518" s="307">
        <f t="shared" ca="1" si="244"/>
        <v>-52.175458737536857</v>
      </c>
      <c r="I518" s="304">
        <f t="shared" ca="1" si="245"/>
        <v>52.309621299197246</v>
      </c>
      <c r="J518" s="306">
        <f t="shared" ca="1" si="246"/>
        <v>150.09587023194715</v>
      </c>
      <c r="K518" s="307">
        <f t="shared" ca="1" si="247"/>
        <v>-3.7265631598982729</v>
      </c>
      <c r="L518" s="304">
        <f t="shared" ca="1" si="232"/>
        <v>150.1421244477053</v>
      </c>
      <c r="M518" s="306">
        <f t="shared" ca="1" si="248"/>
        <v>-1.4991600927076298</v>
      </c>
      <c r="N518" s="304">
        <f t="shared" ca="1" si="249"/>
        <v>-85.895546126588414</v>
      </c>
      <c r="P518" s="310">
        <f t="shared" ca="1" si="250"/>
        <v>23</v>
      </c>
      <c r="Q518" s="304">
        <f t="shared" ca="1" si="251"/>
        <v>0</v>
      </c>
      <c r="R518" s="306">
        <f t="shared" ca="1" si="252"/>
        <v>0</v>
      </c>
      <c r="S518" s="307">
        <f t="shared" ca="1" si="253"/>
        <v>0.4270000000000001</v>
      </c>
      <c r="T518" s="304">
        <f t="shared" ca="1" si="233"/>
        <v>4.1888700000000014</v>
      </c>
      <c r="U518" s="311">
        <f t="shared" ca="1" si="234"/>
        <v>0</v>
      </c>
      <c r="V518" s="306">
        <f t="shared" ca="1" si="235"/>
        <v>1.2254565890624864</v>
      </c>
      <c r="W518" s="304">
        <f t="shared" ca="1" si="236"/>
        <v>3.5469990709759829</v>
      </c>
      <c r="Y518" s="314" t="str">
        <f t="shared" ca="1" si="254"/>
        <v/>
      </c>
      <c r="Z518" s="315" t="str">
        <f t="shared" ca="1" si="255"/>
        <v/>
      </c>
      <c r="AA518" s="316" t="str">
        <f t="shared" ca="1" si="256"/>
        <v/>
      </c>
      <c r="AC518" s="310" t="e">
        <f t="shared" ca="1" si="257"/>
        <v>#N/A</v>
      </c>
      <c r="AD518" s="323" t="e">
        <f t="shared" ca="1" si="258"/>
        <v>#N/A</v>
      </c>
      <c r="AE518" s="324" t="e">
        <f t="shared" ca="1" si="237"/>
        <v>#N/A</v>
      </c>
      <c r="AG518" s="306">
        <f t="shared" ca="1" si="259"/>
        <v>1.4781004713218788</v>
      </c>
      <c r="AH518" s="304">
        <f t="shared" ca="1" si="260"/>
        <v>-8.3067381147714237</v>
      </c>
    </row>
    <row r="519" spans="1:34" x14ac:dyDescent="0.3">
      <c r="A519" s="347">
        <f t="shared" ca="1" si="238"/>
        <v>1E-4</v>
      </c>
      <c r="B519" s="304">
        <f t="shared" ca="1" si="239"/>
        <v>16.117399999999922</v>
      </c>
      <c r="D519" s="306">
        <f t="shared" ca="1" si="240"/>
        <v>-0.59455828413077616</v>
      </c>
      <c r="E519" s="307">
        <f t="shared" ca="1" si="241"/>
        <v>-1.5245156766277184</v>
      </c>
      <c r="F519" s="304">
        <f t="shared" ca="1" si="242"/>
        <v>1.6363519186019255</v>
      </c>
      <c r="G519" s="306">
        <f t="shared" ca="1" si="243"/>
        <v>3.7440006389108671</v>
      </c>
      <c r="H519" s="307">
        <f t="shared" ca="1" si="244"/>
        <v>-52.175611189104522</v>
      </c>
      <c r="I519" s="304">
        <f t="shared" ca="1" si="245"/>
        <v>52.309769104257896</v>
      </c>
      <c r="J519" s="306">
        <f t="shared" ca="1" si="246"/>
        <v>150.09587023194715</v>
      </c>
      <c r="K519" s="307">
        <f t="shared" ca="1" si="247"/>
        <v>-3.7317807133946048</v>
      </c>
      <c r="L519" s="304">
        <f t="shared" ca="1" si="232"/>
        <v>150.14225403922237</v>
      </c>
      <c r="M519" s="306">
        <f t="shared" ca="1" si="248"/>
        <v>-1.4991614350009819</v>
      </c>
      <c r="N519" s="304">
        <f t="shared" ca="1" si="249"/>
        <v>-85.89562303433236</v>
      </c>
      <c r="P519" s="310">
        <f t="shared" ca="1" si="250"/>
        <v>23</v>
      </c>
      <c r="Q519" s="304">
        <f t="shared" ca="1" si="251"/>
        <v>0</v>
      </c>
      <c r="R519" s="306">
        <f t="shared" ca="1" si="252"/>
        <v>0</v>
      </c>
      <c r="S519" s="307">
        <f t="shared" ca="1" si="253"/>
        <v>0.4270000000000001</v>
      </c>
      <c r="T519" s="304">
        <f t="shared" ca="1" si="233"/>
        <v>4.1888700000000014</v>
      </c>
      <c r="U519" s="311">
        <f t="shared" ca="1" si="234"/>
        <v>0</v>
      </c>
      <c r="V519" s="306">
        <f t="shared" ca="1" si="235"/>
        <v>1.2254572284512069</v>
      </c>
      <c r="W519" s="304">
        <f t="shared" ca="1" si="236"/>
        <v>3.5470209663458654</v>
      </c>
      <c r="Y519" s="314" t="str">
        <f t="shared" ca="1" si="254"/>
        <v/>
      </c>
      <c r="Z519" s="315" t="str">
        <f t="shared" ca="1" si="255"/>
        <v/>
      </c>
      <c r="AA519" s="316" t="str">
        <f t="shared" ca="1" si="256"/>
        <v/>
      </c>
      <c r="AC519" s="310" t="e">
        <f t="shared" ca="1" si="257"/>
        <v>#N/A</v>
      </c>
      <c r="AD519" s="323" t="e">
        <f t="shared" ca="1" si="258"/>
        <v>#N/A</v>
      </c>
      <c r="AE519" s="324" t="e">
        <f t="shared" ca="1" si="237"/>
        <v>#N/A</v>
      </c>
      <c r="AG519" s="306">
        <f t="shared" ca="1" si="259"/>
        <v>1.4780501352280577</v>
      </c>
      <c r="AH519" s="304">
        <f t="shared" ca="1" si="260"/>
        <v>-8.3067893933863743</v>
      </c>
    </row>
    <row r="520" spans="1:34" x14ac:dyDescent="0.3">
      <c r="A520" s="347">
        <f t="shared" ca="1" si="238"/>
        <v>1E-4</v>
      </c>
      <c r="B520" s="304">
        <f t="shared" ca="1" si="239"/>
        <v>16.117499999999922</v>
      </c>
      <c r="D520" s="306">
        <f t="shared" ca="1" si="240"/>
        <v>-0.59455083267654241</v>
      </c>
      <c r="E520" s="307">
        <f t="shared" ca="1" si="241"/>
        <v>-1.5244637328604469</v>
      </c>
      <c r="F520" s="304">
        <f t="shared" ca="1" si="242"/>
        <v>1.6363008175281151</v>
      </c>
      <c r="G520" s="306">
        <f t="shared" ca="1" si="243"/>
        <v>3.7439411838275993</v>
      </c>
      <c r="H520" s="307">
        <f t="shared" ca="1" si="244"/>
        <v>-52.175763635477807</v>
      </c>
      <c r="I520" s="304">
        <f t="shared" ca="1" si="245"/>
        <v>52.309916904285068</v>
      </c>
      <c r="J520" s="306">
        <f t="shared" ca="1" si="246"/>
        <v>150.09587023194715</v>
      </c>
      <c r="K520" s="307">
        <f t="shared" ca="1" si="247"/>
        <v>-3.7369982821358341</v>
      </c>
      <c r="L520" s="304">
        <f t="shared" ca="1" si="232"/>
        <v>150.14238381232065</v>
      </c>
      <c r="M520" s="306">
        <f t="shared" ca="1" si="248"/>
        <v>-1.499162777265433</v>
      </c>
      <c r="N520" s="304">
        <f t="shared" ca="1" si="249"/>
        <v>-85.8956999404204</v>
      </c>
      <c r="P520" s="310">
        <f t="shared" ca="1" si="250"/>
        <v>23</v>
      </c>
      <c r="Q520" s="304">
        <f t="shared" ca="1" si="251"/>
        <v>0</v>
      </c>
      <c r="R520" s="306">
        <f t="shared" ca="1" si="252"/>
        <v>0</v>
      </c>
      <c r="S520" s="307">
        <f t="shared" ca="1" si="253"/>
        <v>0.4270000000000001</v>
      </c>
      <c r="T520" s="304">
        <f t="shared" ca="1" si="233"/>
        <v>4.1888700000000014</v>
      </c>
      <c r="U520" s="311">
        <f t="shared" ca="1" si="234"/>
        <v>0</v>
      </c>
      <c r="V520" s="306">
        <f t="shared" ca="1" si="235"/>
        <v>1.2254578678421288</v>
      </c>
      <c r="W520" s="304">
        <f t="shared" ca="1" si="236"/>
        <v>3.5470428611170521</v>
      </c>
      <c r="Y520" s="314" t="str">
        <f t="shared" ca="1" si="254"/>
        <v/>
      </c>
      <c r="Z520" s="315" t="str">
        <f t="shared" ca="1" si="255"/>
        <v/>
      </c>
      <c r="AA520" s="316" t="str">
        <f t="shared" ca="1" si="256"/>
        <v/>
      </c>
      <c r="AC520" s="310" t="e">
        <f t="shared" ca="1" si="257"/>
        <v>#N/A</v>
      </c>
      <c r="AD520" s="323" t="e">
        <f t="shared" ca="1" si="258"/>
        <v>#N/A</v>
      </c>
      <c r="AE520" s="324" t="e">
        <f t="shared" ca="1" si="237"/>
        <v>#N/A</v>
      </c>
      <c r="AG520" s="306">
        <f t="shared" ca="1" si="259"/>
        <v>1.4779998004984218</v>
      </c>
      <c r="AH520" s="304">
        <f t="shared" ca="1" si="260"/>
        <v>-8.3068406705992146</v>
      </c>
    </row>
    <row r="521" spans="1:34" x14ac:dyDescent="0.3">
      <c r="A521" s="347">
        <f t="shared" ca="1" si="238"/>
        <v>1E-4</v>
      </c>
      <c r="B521" s="304">
        <f t="shared" ca="1" si="239"/>
        <v>16.117599999999921</v>
      </c>
      <c r="D521" s="306">
        <f t="shared" ca="1" si="240"/>
        <v>-0.59454338122304184</v>
      </c>
      <c r="E521" s="307">
        <f t="shared" ca="1" si="241"/>
        <v>-1.5244117905139376</v>
      </c>
      <c r="F521" s="304">
        <f t="shared" ca="1" si="242"/>
        <v>1.6362497178652275</v>
      </c>
      <c r="G521" s="306">
        <f t="shared" ca="1" si="243"/>
        <v>3.7438817294894768</v>
      </c>
      <c r="H521" s="307">
        <f t="shared" ca="1" si="244"/>
        <v>-52.175916076656861</v>
      </c>
      <c r="I521" s="304">
        <f t="shared" ca="1" si="245"/>
        <v>52.310064699278904</v>
      </c>
      <c r="J521" s="306">
        <f t="shared" ca="1" si="246"/>
        <v>150.09587023194715</v>
      </c>
      <c r="K521" s="307">
        <f t="shared" ca="1" si="247"/>
        <v>-3.7422158661214406</v>
      </c>
      <c r="L521" s="304">
        <f t="shared" ca="1" si="232"/>
        <v>150.14251376700128</v>
      </c>
      <c r="M521" s="306">
        <f t="shared" ca="1" si="248"/>
        <v>-1.4991641195009839</v>
      </c>
      <c r="N521" s="304">
        <f t="shared" ca="1" si="249"/>
        <v>-85.895776844852577</v>
      </c>
      <c r="P521" s="310">
        <f t="shared" ca="1" si="250"/>
        <v>23</v>
      </c>
      <c r="Q521" s="304">
        <f t="shared" ca="1" si="251"/>
        <v>0</v>
      </c>
      <c r="R521" s="306">
        <f t="shared" ca="1" si="252"/>
        <v>0</v>
      </c>
      <c r="S521" s="307">
        <f t="shared" ca="1" si="253"/>
        <v>0.4270000000000001</v>
      </c>
      <c r="T521" s="304">
        <f t="shared" ca="1" si="233"/>
        <v>4.1888700000000014</v>
      </c>
      <c r="U521" s="311">
        <f t="shared" ca="1" si="234"/>
        <v>0</v>
      </c>
      <c r="V521" s="306">
        <f t="shared" ca="1" si="235"/>
        <v>1.2254585072352524</v>
      </c>
      <c r="W521" s="304">
        <f t="shared" ca="1" si="236"/>
        <v>3.5470647552895564</v>
      </c>
      <c r="Y521" s="314" t="str">
        <f t="shared" ca="1" si="254"/>
        <v/>
      </c>
      <c r="Z521" s="315" t="str">
        <f t="shared" ca="1" si="255"/>
        <v/>
      </c>
      <c r="AA521" s="316" t="str">
        <f t="shared" ca="1" si="256"/>
        <v/>
      </c>
      <c r="AC521" s="310" t="e">
        <f t="shared" ca="1" si="257"/>
        <v>#N/A</v>
      </c>
      <c r="AD521" s="323" t="e">
        <f t="shared" ca="1" si="258"/>
        <v>#N/A</v>
      </c>
      <c r="AE521" s="324" t="e">
        <f t="shared" ca="1" si="237"/>
        <v>#N/A</v>
      </c>
      <c r="AG521" s="306">
        <f t="shared" ca="1" si="259"/>
        <v>1.4779494671329623</v>
      </c>
      <c r="AH521" s="304">
        <f t="shared" ca="1" si="260"/>
        <v>-8.3068919464099569</v>
      </c>
    </row>
    <row r="522" spans="1:34" x14ac:dyDescent="0.3">
      <c r="A522" s="347">
        <f t="shared" ca="1" si="238"/>
        <v>1E-4</v>
      </c>
      <c r="B522" s="304">
        <f t="shared" ca="1" si="239"/>
        <v>16.117699999999921</v>
      </c>
      <c r="D522" s="306">
        <f t="shared" ca="1" si="240"/>
        <v>-0.59453592977028114</v>
      </c>
      <c r="E522" s="307">
        <f t="shared" ca="1" si="241"/>
        <v>-1.5243598495881567</v>
      </c>
      <c r="F522" s="304">
        <f t="shared" ca="1" si="242"/>
        <v>1.6361986196132303</v>
      </c>
      <c r="G522" s="306">
        <f t="shared" ca="1" si="243"/>
        <v>3.7438222758964996</v>
      </c>
      <c r="H522" s="307">
        <f t="shared" ca="1" si="244"/>
        <v>-52.17606851264182</v>
      </c>
      <c r="I522" s="304">
        <f t="shared" ca="1" si="245"/>
        <v>52.310212489239539</v>
      </c>
      <c r="J522" s="306">
        <f t="shared" ca="1" si="246"/>
        <v>150.09587023194715</v>
      </c>
      <c r="K522" s="307">
        <f t="shared" ca="1" si="247"/>
        <v>-3.7474334653509054</v>
      </c>
      <c r="L522" s="304">
        <f t="shared" ca="1" si="232"/>
        <v>150.14264390326537</v>
      </c>
      <c r="M522" s="306">
        <f t="shared" ca="1" si="248"/>
        <v>-1.4991654617076358</v>
      </c>
      <c r="N522" s="304">
        <f t="shared" ca="1" si="249"/>
        <v>-85.895853747628962</v>
      </c>
      <c r="P522" s="310">
        <f t="shared" ca="1" si="250"/>
        <v>23</v>
      </c>
      <c r="Q522" s="304">
        <f t="shared" ca="1" si="251"/>
        <v>0</v>
      </c>
      <c r="R522" s="306">
        <f t="shared" ca="1" si="252"/>
        <v>0</v>
      </c>
      <c r="S522" s="307">
        <f t="shared" ca="1" si="253"/>
        <v>0.4270000000000001</v>
      </c>
      <c r="T522" s="304">
        <f t="shared" ca="1" si="233"/>
        <v>4.1888700000000014</v>
      </c>
      <c r="U522" s="311">
        <f t="shared" ca="1" si="234"/>
        <v>0</v>
      </c>
      <c r="V522" s="306">
        <f t="shared" ca="1" si="235"/>
        <v>1.2254591466305782</v>
      </c>
      <c r="W522" s="304">
        <f t="shared" ca="1" si="236"/>
        <v>3.5470866488633912</v>
      </c>
      <c r="Y522" s="314" t="str">
        <f t="shared" ca="1" si="254"/>
        <v/>
      </c>
      <c r="Z522" s="315" t="str">
        <f t="shared" ca="1" si="255"/>
        <v/>
      </c>
      <c r="AA522" s="316" t="str">
        <f t="shared" ca="1" si="256"/>
        <v/>
      </c>
      <c r="AC522" s="310" t="e">
        <f t="shared" ca="1" si="257"/>
        <v>#N/A</v>
      </c>
      <c r="AD522" s="323" t="e">
        <f t="shared" ca="1" si="258"/>
        <v>#N/A</v>
      </c>
      <c r="AE522" s="324" t="e">
        <f t="shared" ca="1" si="237"/>
        <v>#N/A</v>
      </c>
      <c r="AG522" s="306">
        <f t="shared" ca="1" si="259"/>
        <v>1.4778991351316488</v>
      </c>
      <c r="AH522" s="304">
        <f t="shared" ca="1" si="260"/>
        <v>-8.3069432208186313</v>
      </c>
    </row>
    <row r="523" spans="1:34" x14ac:dyDescent="0.3">
      <c r="A523" s="347">
        <f t="shared" ca="1" si="238"/>
        <v>1E-4</v>
      </c>
      <c r="B523" s="304">
        <f t="shared" ca="1" si="239"/>
        <v>16.117799999999921</v>
      </c>
      <c r="D523" s="306">
        <f t="shared" ca="1" si="240"/>
        <v>-0.59452847831826361</v>
      </c>
      <c r="E523" s="307">
        <f t="shared" ca="1" si="241"/>
        <v>-1.5243079100830741</v>
      </c>
      <c r="F523" s="304">
        <f t="shared" ca="1" si="242"/>
        <v>1.6361475227720936</v>
      </c>
      <c r="G523" s="306">
        <f t="shared" ca="1" si="243"/>
        <v>3.7437628230486677</v>
      </c>
      <c r="H523" s="307">
        <f t="shared" ca="1" si="244"/>
        <v>-52.176220943432831</v>
      </c>
      <c r="I523" s="304">
        <f t="shared" ca="1" si="245"/>
        <v>52.31036027416711</v>
      </c>
      <c r="J523" s="306">
        <f t="shared" ca="1" si="246"/>
        <v>150.09587023194715</v>
      </c>
      <c r="K523" s="307">
        <f t="shared" ca="1" si="247"/>
        <v>-3.7526510798237092</v>
      </c>
      <c r="L523" s="304">
        <f t="shared" ca="1" si="232"/>
        <v>150.14277422111402</v>
      </c>
      <c r="M523" s="306">
        <f t="shared" ca="1" si="248"/>
        <v>-1.4991668038853891</v>
      </c>
      <c r="N523" s="304">
        <f t="shared" ca="1" si="249"/>
        <v>-85.895930648749584</v>
      </c>
      <c r="P523" s="310">
        <f t="shared" ca="1" si="250"/>
        <v>23</v>
      </c>
      <c r="Q523" s="304">
        <f t="shared" ca="1" si="251"/>
        <v>0</v>
      </c>
      <c r="R523" s="306">
        <f t="shared" ca="1" si="252"/>
        <v>0</v>
      </c>
      <c r="S523" s="307">
        <f t="shared" ca="1" si="253"/>
        <v>0.4270000000000001</v>
      </c>
      <c r="T523" s="304">
        <f t="shared" ca="1" si="233"/>
        <v>4.1888700000000014</v>
      </c>
      <c r="U523" s="311">
        <f t="shared" ca="1" si="234"/>
        <v>0</v>
      </c>
      <c r="V523" s="306">
        <f t="shared" ca="1" si="235"/>
        <v>1.2254597860281051</v>
      </c>
      <c r="W523" s="304">
        <f t="shared" ca="1" si="236"/>
        <v>3.5471085418385662</v>
      </c>
      <c r="Y523" s="314" t="str">
        <f t="shared" ca="1" si="254"/>
        <v/>
      </c>
      <c r="Z523" s="315" t="str">
        <f t="shared" ca="1" si="255"/>
        <v/>
      </c>
      <c r="AA523" s="316" t="str">
        <f t="shared" ca="1" si="256"/>
        <v/>
      </c>
      <c r="AC523" s="310" t="e">
        <f t="shared" ca="1" si="257"/>
        <v>#N/A</v>
      </c>
      <c r="AD523" s="323" t="e">
        <f t="shared" ca="1" si="258"/>
        <v>#N/A</v>
      </c>
      <c r="AE523" s="324" t="e">
        <f t="shared" ca="1" si="237"/>
        <v>#N/A</v>
      </c>
      <c r="AG523" s="306">
        <f t="shared" ca="1" si="259"/>
        <v>1.4778488044944549</v>
      </c>
      <c r="AH523" s="304">
        <f t="shared" ca="1" si="260"/>
        <v>-8.30699449382527</v>
      </c>
    </row>
    <row r="524" spans="1:34" x14ac:dyDescent="0.3">
      <c r="A524" s="347">
        <f t="shared" ca="1" si="238"/>
        <v>1E-4</v>
      </c>
      <c r="B524" s="304">
        <f t="shared" ca="1" si="239"/>
        <v>16.117899999999921</v>
      </c>
      <c r="D524" s="306">
        <f t="shared" ca="1" si="240"/>
        <v>-0.59452102686699537</v>
      </c>
      <c r="E524" s="307">
        <f t="shared" ca="1" si="241"/>
        <v>-1.5242559719986666</v>
      </c>
      <c r="F524" s="304">
        <f t="shared" ca="1" si="242"/>
        <v>1.6360964273417953</v>
      </c>
      <c r="G524" s="306">
        <f t="shared" ca="1" si="243"/>
        <v>3.743703370945981</v>
      </c>
      <c r="H524" s="307">
        <f t="shared" ca="1" si="244"/>
        <v>-52.176373369030031</v>
      </c>
      <c r="I524" s="304">
        <f t="shared" ca="1" si="245"/>
        <v>52.310508054061749</v>
      </c>
      <c r="J524" s="306">
        <f t="shared" ca="1" si="246"/>
        <v>150.09587023194715</v>
      </c>
      <c r="K524" s="307">
        <f t="shared" ca="1" si="247"/>
        <v>-3.7578687095393324</v>
      </c>
      <c r="L524" s="304">
        <f t="shared" ca="1" si="232"/>
        <v>150.14290472054833</v>
      </c>
      <c r="M524" s="306">
        <f t="shared" ca="1" si="248"/>
        <v>-1.499168146034245</v>
      </c>
      <c r="N524" s="304">
        <f t="shared" ca="1" si="249"/>
        <v>-85.896007548214499</v>
      </c>
      <c r="P524" s="310">
        <f t="shared" ca="1" si="250"/>
        <v>23</v>
      </c>
      <c r="Q524" s="304">
        <f t="shared" ca="1" si="251"/>
        <v>0</v>
      </c>
      <c r="R524" s="306">
        <f t="shared" ca="1" si="252"/>
        <v>0</v>
      </c>
      <c r="S524" s="307">
        <f t="shared" ca="1" si="253"/>
        <v>0.4270000000000001</v>
      </c>
      <c r="T524" s="304">
        <f t="shared" ca="1" si="233"/>
        <v>4.1888700000000014</v>
      </c>
      <c r="U524" s="311">
        <f t="shared" ca="1" si="234"/>
        <v>0</v>
      </c>
      <c r="V524" s="306">
        <f t="shared" ca="1" si="235"/>
        <v>1.2254604254278343</v>
      </c>
      <c r="W524" s="304">
        <f t="shared" ca="1" si="236"/>
        <v>3.5471304342150951</v>
      </c>
      <c r="Y524" s="314" t="str">
        <f t="shared" ca="1" si="254"/>
        <v/>
      </c>
      <c r="Z524" s="315" t="str">
        <f t="shared" ca="1" si="255"/>
        <v/>
      </c>
      <c r="AA524" s="316" t="str">
        <f t="shared" ca="1" si="256"/>
        <v/>
      </c>
      <c r="AC524" s="310" t="e">
        <f t="shared" ca="1" si="257"/>
        <v>#N/A</v>
      </c>
      <c r="AD524" s="323" t="e">
        <f t="shared" ca="1" si="258"/>
        <v>#N/A</v>
      </c>
      <c r="AE524" s="324" t="e">
        <f t="shared" ca="1" si="237"/>
        <v>#N/A</v>
      </c>
      <c r="AG524" s="306">
        <f t="shared" ca="1" si="259"/>
        <v>1.4777984752213573</v>
      </c>
      <c r="AH524" s="304">
        <f t="shared" ca="1" si="260"/>
        <v>-8.3070457654298959</v>
      </c>
    </row>
    <row r="525" spans="1:34" x14ac:dyDescent="0.3">
      <c r="A525" s="347">
        <f t="shared" ca="1" si="238"/>
        <v>1E-4</v>
      </c>
      <c r="B525" s="304">
        <f t="shared" ca="1" si="239"/>
        <v>16.11799999999992</v>
      </c>
      <c r="D525" s="306">
        <f t="shared" ca="1" si="240"/>
        <v>-0.59451357541648153</v>
      </c>
      <c r="E525" s="307">
        <f t="shared" ca="1" si="241"/>
        <v>-1.5242040353349022</v>
      </c>
      <c r="F525" s="304">
        <f t="shared" ca="1" si="242"/>
        <v>1.636045333322304</v>
      </c>
      <c r="G525" s="306">
        <f t="shared" ca="1" si="243"/>
        <v>3.7436439195884392</v>
      </c>
      <c r="H525" s="307">
        <f t="shared" ca="1" si="244"/>
        <v>-52.176525789433562</v>
      </c>
      <c r="I525" s="304">
        <f t="shared" ca="1" si="245"/>
        <v>52.310655828923586</v>
      </c>
      <c r="J525" s="306">
        <f t="shared" ca="1" si="246"/>
        <v>150.09587023194715</v>
      </c>
      <c r="K525" s="307">
        <f t="shared" ca="1" si="247"/>
        <v>-3.7630863544972555</v>
      </c>
      <c r="L525" s="304">
        <f t="shared" ca="1" si="232"/>
        <v>150.14303540156939</v>
      </c>
      <c r="M525" s="306">
        <f t="shared" ca="1" si="248"/>
        <v>-1.4991694881542041</v>
      </c>
      <c r="N525" s="304">
        <f t="shared" ca="1" si="249"/>
        <v>-85.896084446023764</v>
      </c>
      <c r="P525" s="310">
        <f t="shared" ca="1" si="250"/>
        <v>23</v>
      </c>
      <c r="Q525" s="304">
        <f t="shared" ca="1" si="251"/>
        <v>0</v>
      </c>
      <c r="R525" s="306">
        <f t="shared" ca="1" si="252"/>
        <v>0</v>
      </c>
      <c r="S525" s="307">
        <f t="shared" ca="1" si="253"/>
        <v>0.4270000000000001</v>
      </c>
      <c r="T525" s="304">
        <f t="shared" ca="1" si="233"/>
        <v>4.1888700000000014</v>
      </c>
      <c r="U525" s="311">
        <f t="shared" ca="1" si="234"/>
        <v>0</v>
      </c>
      <c r="V525" s="306">
        <f t="shared" ca="1" si="235"/>
        <v>1.2254610648297646</v>
      </c>
      <c r="W525" s="304">
        <f t="shared" ca="1" si="236"/>
        <v>3.5471523259929847</v>
      </c>
      <c r="Y525" s="314" t="str">
        <f t="shared" ca="1" si="254"/>
        <v/>
      </c>
      <c r="Z525" s="315" t="str">
        <f t="shared" ca="1" si="255"/>
        <v/>
      </c>
      <c r="AA525" s="316" t="str">
        <f t="shared" ca="1" si="256"/>
        <v/>
      </c>
      <c r="AC525" s="310" t="e">
        <f t="shared" ca="1" si="257"/>
        <v>#N/A</v>
      </c>
      <c r="AD525" s="323" t="e">
        <f t="shared" ca="1" si="258"/>
        <v>#N/A</v>
      </c>
      <c r="AE525" s="324" t="e">
        <f t="shared" ca="1" si="237"/>
        <v>#N/A</v>
      </c>
      <c r="AG525" s="306">
        <f t="shared" ca="1" si="259"/>
        <v>1.477748147312326</v>
      </c>
      <c r="AH525" s="304">
        <f t="shared" ca="1" si="260"/>
        <v>-8.3070970356325393</v>
      </c>
    </row>
    <row r="526" spans="1:34" x14ac:dyDescent="0.3">
      <c r="A526" s="347">
        <f t="shared" ca="1" si="238"/>
        <v>1E-4</v>
      </c>
      <c r="B526" s="304">
        <f t="shared" ca="1" si="239"/>
        <v>16.11809999999992</v>
      </c>
      <c r="D526" s="306">
        <f t="shared" ca="1" si="240"/>
        <v>-0.59450612396672597</v>
      </c>
      <c r="E526" s="307">
        <f t="shared" ca="1" si="241"/>
        <v>-1.5241521000917633</v>
      </c>
      <c r="F526" s="304">
        <f t="shared" ca="1" si="242"/>
        <v>1.6359942407136012</v>
      </c>
      <c r="G526" s="306">
        <f t="shared" ca="1" si="243"/>
        <v>3.7435844689760427</v>
      </c>
      <c r="H526" s="307">
        <f t="shared" ca="1" si="244"/>
        <v>-52.176678204643572</v>
      </c>
      <c r="I526" s="304">
        <f t="shared" ca="1" si="245"/>
        <v>52.31080359875277</v>
      </c>
      <c r="J526" s="306">
        <f t="shared" ca="1" si="246"/>
        <v>150.09587023194715</v>
      </c>
      <c r="K526" s="307">
        <f t="shared" ca="1" si="247"/>
        <v>-3.7683040146969593</v>
      </c>
      <c r="L526" s="304">
        <f t="shared" ca="1" si="232"/>
        <v>150.14316626417832</v>
      </c>
      <c r="M526" s="306">
        <f t="shared" ca="1" si="248"/>
        <v>-1.4991708302452671</v>
      </c>
      <c r="N526" s="304">
        <f t="shared" ca="1" si="249"/>
        <v>-85.896161342177393</v>
      </c>
      <c r="P526" s="310">
        <f t="shared" ca="1" si="250"/>
        <v>23</v>
      </c>
      <c r="Q526" s="304">
        <f t="shared" ca="1" si="251"/>
        <v>0</v>
      </c>
      <c r="R526" s="306">
        <f t="shared" ca="1" si="252"/>
        <v>0</v>
      </c>
      <c r="S526" s="307">
        <f t="shared" ca="1" si="253"/>
        <v>0.4270000000000001</v>
      </c>
      <c r="T526" s="304">
        <f t="shared" ca="1" si="233"/>
        <v>4.1888700000000014</v>
      </c>
      <c r="U526" s="311">
        <f t="shared" ca="1" si="234"/>
        <v>0</v>
      </c>
      <c r="V526" s="306">
        <f t="shared" ca="1" si="235"/>
        <v>1.2254617042338967</v>
      </c>
      <c r="W526" s="304">
        <f t="shared" ca="1" si="236"/>
        <v>3.5471742171722522</v>
      </c>
      <c r="Y526" s="314" t="str">
        <f t="shared" ca="1" si="254"/>
        <v/>
      </c>
      <c r="Z526" s="315" t="str">
        <f t="shared" ca="1" si="255"/>
        <v/>
      </c>
      <c r="AA526" s="316" t="str">
        <f t="shared" ca="1" si="256"/>
        <v/>
      </c>
      <c r="AC526" s="310" t="e">
        <f t="shared" ca="1" si="257"/>
        <v>#N/A</v>
      </c>
      <c r="AD526" s="323" t="e">
        <f t="shared" ca="1" si="258"/>
        <v>#N/A</v>
      </c>
      <c r="AE526" s="324" t="e">
        <f t="shared" ca="1" si="237"/>
        <v>#N/A</v>
      </c>
      <c r="AG526" s="306">
        <f t="shared" ca="1" si="259"/>
        <v>1.4776978207673466</v>
      </c>
      <c r="AH526" s="304">
        <f t="shared" ca="1" si="260"/>
        <v>-8.3071483044332179</v>
      </c>
    </row>
    <row r="527" spans="1:34" x14ac:dyDescent="0.3">
      <c r="A527" s="347">
        <f t="shared" ca="1" si="238"/>
        <v>1E-4</v>
      </c>
      <c r="B527" s="304">
        <f t="shared" ca="1" si="239"/>
        <v>16.11819999999992</v>
      </c>
      <c r="D527" s="306">
        <f t="shared" ca="1" si="240"/>
        <v>-0.59449867251773802</v>
      </c>
      <c r="E527" s="307">
        <f t="shared" ca="1" si="241"/>
        <v>-1.5241001662692106</v>
      </c>
      <c r="F527" s="304">
        <f t="shared" ca="1" si="242"/>
        <v>1.6359431495156511</v>
      </c>
      <c r="G527" s="306">
        <f t="shared" ca="1" si="243"/>
        <v>3.743525019108791</v>
      </c>
      <c r="H527" s="307">
        <f t="shared" ca="1" si="244"/>
        <v>-52.176830614660197</v>
      </c>
      <c r="I527" s="304">
        <f t="shared" ca="1" si="245"/>
        <v>52.310951363549442</v>
      </c>
      <c r="J527" s="306">
        <f t="shared" ca="1" si="246"/>
        <v>150.09587023194715</v>
      </c>
      <c r="K527" s="307">
        <f t="shared" ca="1" si="247"/>
        <v>-3.7735216901379247</v>
      </c>
      <c r="L527" s="304">
        <f t="shared" ca="1" si="232"/>
        <v>150.14329730837625</v>
      </c>
      <c r="M527" s="306">
        <f t="shared" ca="1" si="248"/>
        <v>-1.4991721723074352</v>
      </c>
      <c r="N527" s="304">
        <f t="shared" ca="1" si="249"/>
        <v>-85.896238236675472</v>
      </c>
      <c r="P527" s="310">
        <f t="shared" ca="1" si="250"/>
        <v>23</v>
      </c>
      <c r="Q527" s="304">
        <f t="shared" ca="1" si="251"/>
        <v>0</v>
      </c>
      <c r="R527" s="306">
        <f t="shared" ca="1" si="252"/>
        <v>0</v>
      </c>
      <c r="S527" s="307">
        <f t="shared" ca="1" si="253"/>
        <v>0.4270000000000001</v>
      </c>
      <c r="T527" s="304">
        <f t="shared" ca="1" si="233"/>
        <v>4.1888700000000014</v>
      </c>
      <c r="U527" s="311">
        <f t="shared" ca="1" si="234"/>
        <v>0</v>
      </c>
      <c r="V527" s="306">
        <f t="shared" ca="1" si="235"/>
        <v>1.2254623436402299</v>
      </c>
      <c r="W527" s="304">
        <f t="shared" ca="1" si="236"/>
        <v>3.5471961077529079</v>
      </c>
      <c r="Y527" s="314" t="str">
        <f t="shared" ca="1" si="254"/>
        <v/>
      </c>
      <c r="Z527" s="315" t="str">
        <f t="shared" ca="1" si="255"/>
        <v/>
      </c>
      <c r="AA527" s="316" t="str">
        <f t="shared" ca="1" si="256"/>
        <v/>
      </c>
      <c r="AC527" s="310" t="e">
        <f t="shared" ca="1" si="257"/>
        <v>#N/A</v>
      </c>
      <c r="AD527" s="323" t="e">
        <f t="shared" ca="1" si="258"/>
        <v>#N/A</v>
      </c>
      <c r="AE527" s="324" t="e">
        <f t="shared" ca="1" si="237"/>
        <v>#N/A</v>
      </c>
      <c r="AG527" s="306">
        <f t="shared" ca="1" si="259"/>
        <v>1.4776474955863819</v>
      </c>
      <c r="AH527" s="304">
        <f t="shared" ca="1" si="260"/>
        <v>-8.3071995718319709</v>
      </c>
    </row>
    <row r="528" spans="1:34" x14ac:dyDescent="0.3">
      <c r="A528" s="347">
        <f t="shared" ca="1" si="238"/>
        <v>1E-4</v>
      </c>
      <c r="B528" s="304">
        <f t="shared" ca="1" si="239"/>
        <v>16.11829999999992</v>
      </c>
      <c r="D528" s="306">
        <f t="shared" ca="1" si="240"/>
        <v>-0.59449122106951868</v>
      </c>
      <c r="E528" s="307">
        <f t="shared" ca="1" si="241"/>
        <v>-1.5240482338672194</v>
      </c>
      <c r="F528" s="304">
        <f t="shared" ca="1" si="242"/>
        <v>1.6358920597284279</v>
      </c>
      <c r="G528" s="306">
        <f t="shared" ca="1" si="243"/>
        <v>3.7434655699866841</v>
      </c>
      <c r="H528" s="307">
        <f t="shared" ca="1" si="244"/>
        <v>-52.176983019483586</v>
      </c>
      <c r="I528" s="304">
        <f t="shared" ca="1" si="245"/>
        <v>52.311099123313731</v>
      </c>
      <c r="J528" s="306">
        <f t="shared" ca="1" si="246"/>
        <v>150.09587023194715</v>
      </c>
      <c r="K528" s="307">
        <f t="shared" ca="1" si="247"/>
        <v>-3.7787393808196321</v>
      </c>
      <c r="L528" s="304">
        <f t="shared" ca="1" si="232"/>
        <v>150.1434285341642</v>
      </c>
      <c r="M528" s="306">
        <f t="shared" ca="1" si="248"/>
        <v>-1.499173514340709</v>
      </c>
      <c r="N528" s="304">
        <f t="shared" ca="1" si="249"/>
        <v>-85.89631512951803</v>
      </c>
      <c r="P528" s="310">
        <f t="shared" ca="1" si="250"/>
        <v>23</v>
      </c>
      <c r="Q528" s="304">
        <f t="shared" ca="1" si="251"/>
        <v>0</v>
      </c>
      <c r="R528" s="306">
        <f t="shared" ca="1" si="252"/>
        <v>0</v>
      </c>
      <c r="S528" s="307">
        <f t="shared" ca="1" si="253"/>
        <v>0.4270000000000001</v>
      </c>
      <c r="T528" s="304">
        <f t="shared" ca="1" si="233"/>
        <v>4.1888700000000014</v>
      </c>
      <c r="U528" s="311">
        <f t="shared" ca="1" si="234"/>
        <v>0</v>
      </c>
      <c r="V528" s="306">
        <f t="shared" ca="1" si="235"/>
        <v>1.2254629830487647</v>
      </c>
      <c r="W528" s="304">
        <f t="shared" ca="1" si="236"/>
        <v>3.5472179977349625</v>
      </c>
      <c r="Y528" s="314" t="str">
        <f t="shared" ca="1" si="254"/>
        <v/>
      </c>
      <c r="Z528" s="315" t="str">
        <f t="shared" ca="1" si="255"/>
        <v/>
      </c>
      <c r="AA528" s="316" t="str">
        <f t="shared" ca="1" si="256"/>
        <v/>
      </c>
      <c r="AC528" s="310" t="e">
        <f t="shared" ca="1" si="257"/>
        <v>#N/A</v>
      </c>
      <c r="AD528" s="323" t="e">
        <f t="shared" ca="1" si="258"/>
        <v>#N/A</v>
      </c>
      <c r="AE528" s="324" t="e">
        <f t="shared" ca="1" si="237"/>
        <v>#N/A</v>
      </c>
      <c r="AG528" s="306">
        <f t="shared" ca="1" si="259"/>
        <v>1.477597171769407</v>
      </c>
      <c r="AH528" s="304">
        <f t="shared" ca="1" si="260"/>
        <v>-8.307250837828823</v>
      </c>
    </row>
    <row r="529" spans="1:34" x14ac:dyDescent="0.3">
      <c r="A529" s="347">
        <f t="shared" ca="1" si="238"/>
        <v>1E-4</v>
      </c>
      <c r="B529" s="304">
        <f t="shared" ca="1" si="239"/>
        <v>16.118399999999919</v>
      </c>
      <c r="D529" s="306">
        <f t="shared" ca="1" si="240"/>
        <v>-0.59448376962207405</v>
      </c>
      <c r="E529" s="307">
        <f t="shared" ca="1" si="241"/>
        <v>-1.5239963028857648</v>
      </c>
      <c r="F529" s="304">
        <f t="shared" ca="1" si="242"/>
        <v>1.6358409713519073</v>
      </c>
      <c r="G529" s="306">
        <f t="shared" ca="1" si="243"/>
        <v>3.7434061216097221</v>
      </c>
      <c r="H529" s="307">
        <f t="shared" ca="1" si="244"/>
        <v>-52.177135419113874</v>
      </c>
      <c r="I529" s="304">
        <f t="shared" ca="1" si="245"/>
        <v>52.311246878045765</v>
      </c>
      <c r="J529" s="306">
        <f t="shared" ca="1" si="246"/>
        <v>150.09587023194715</v>
      </c>
      <c r="K529" s="307">
        <f t="shared" ca="1" si="247"/>
        <v>-3.7839570867415619</v>
      </c>
      <c r="L529" s="304">
        <f t="shared" ca="1" si="232"/>
        <v>150.14355994154334</v>
      </c>
      <c r="M529" s="306">
        <f t="shared" ca="1" si="248"/>
        <v>-1.4991748563450895</v>
      </c>
      <c r="N529" s="304">
        <f t="shared" ca="1" si="249"/>
        <v>-85.896392020705107</v>
      </c>
      <c r="P529" s="310">
        <f t="shared" ca="1" si="250"/>
        <v>23</v>
      </c>
      <c r="Q529" s="304">
        <f t="shared" ca="1" si="251"/>
        <v>0</v>
      </c>
      <c r="R529" s="306">
        <f t="shared" ca="1" si="252"/>
        <v>0</v>
      </c>
      <c r="S529" s="307">
        <f t="shared" ca="1" si="253"/>
        <v>0.4270000000000001</v>
      </c>
      <c r="T529" s="304">
        <f t="shared" ca="1" si="233"/>
        <v>4.1888700000000014</v>
      </c>
      <c r="U529" s="311">
        <f t="shared" ca="1" si="234"/>
        <v>0</v>
      </c>
      <c r="V529" s="306">
        <f t="shared" ca="1" si="235"/>
        <v>1.2254636224595004</v>
      </c>
      <c r="W529" s="304">
        <f t="shared" ca="1" si="236"/>
        <v>3.5472398871184261</v>
      </c>
      <c r="Y529" s="314" t="str">
        <f t="shared" ca="1" si="254"/>
        <v/>
      </c>
      <c r="Z529" s="315" t="str">
        <f t="shared" ca="1" si="255"/>
        <v/>
      </c>
      <c r="AA529" s="316" t="str">
        <f t="shared" ca="1" si="256"/>
        <v/>
      </c>
      <c r="AC529" s="310" t="e">
        <f t="shared" ca="1" si="257"/>
        <v>#N/A</v>
      </c>
      <c r="AD529" s="323" t="e">
        <f t="shared" ca="1" si="258"/>
        <v>#N/A</v>
      </c>
      <c r="AE529" s="324" t="e">
        <f t="shared" ca="1" si="237"/>
        <v>#N/A</v>
      </c>
      <c r="AG529" s="306">
        <f t="shared" ca="1" si="259"/>
        <v>1.4775468493164041</v>
      </c>
      <c r="AH529" s="304">
        <f t="shared" ca="1" si="260"/>
        <v>-8.3073021024237974</v>
      </c>
    </row>
    <row r="530" spans="1:34" x14ac:dyDescent="0.3">
      <c r="A530" s="347">
        <f t="shared" ca="1" si="238"/>
        <v>1E-4</v>
      </c>
      <c r="B530" s="304">
        <f t="shared" ca="1" si="239"/>
        <v>16.118499999999919</v>
      </c>
      <c r="D530" s="306">
        <f t="shared" ca="1" si="240"/>
        <v>-0.5944763181754088</v>
      </c>
      <c r="E530" s="307">
        <f t="shared" ca="1" si="241"/>
        <v>-1.5239443733248219</v>
      </c>
      <c r="F530" s="304">
        <f t="shared" ca="1" si="242"/>
        <v>1.6357898843860645</v>
      </c>
      <c r="G530" s="306">
        <f t="shared" ca="1" si="243"/>
        <v>3.7433466739779044</v>
      </c>
      <c r="H530" s="307">
        <f t="shared" ca="1" si="244"/>
        <v>-52.177287813551203</v>
      </c>
      <c r="I530" s="304">
        <f t="shared" ca="1" si="245"/>
        <v>52.311394627745685</v>
      </c>
      <c r="J530" s="306">
        <f t="shared" ca="1" si="246"/>
        <v>150.09587023194715</v>
      </c>
      <c r="K530" s="307">
        <f t="shared" ca="1" si="247"/>
        <v>-3.7891748079031951</v>
      </c>
      <c r="L530" s="304">
        <f t="shared" ca="1" si="232"/>
        <v>150.14369153051473</v>
      </c>
      <c r="M530" s="306">
        <f t="shared" ca="1" si="248"/>
        <v>-1.4991761983205774</v>
      </c>
      <c r="N530" s="304">
        <f t="shared" ca="1" si="249"/>
        <v>-85.896468910236777</v>
      </c>
      <c r="P530" s="310">
        <f t="shared" ca="1" si="250"/>
        <v>23</v>
      </c>
      <c r="Q530" s="304">
        <f t="shared" ca="1" si="251"/>
        <v>0</v>
      </c>
      <c r="R530" s="306">
        <f t="shared" ca="1" si="252"/>
        <v>0</v>
      </c>
      <c r="S530" s="307">
        <f t="shared" ca="1" si="253"/>
        <v>0.4270000000000001</v>
      </c>
      <c r="T530" s="304">
        <f t="shared" ca="1" si="233"/>
        <v>4.1888700000000014</v>
      </c>
      <c r="U530" s="311">
        <f t="shared" ca="1" si="234"/>
        <v>0</v>
      </c>
      <c r="V530" s="306">
        <f t="shared" ca="1" si="235"/>
        <v>1.2254642618724376</v>
      </c>
      <c r="W530" s="304">
        <f t="shared" ca="1" si="236"/>
        <v>3.5472617759033125</v>
      </c>
      <c r="Y530" s="314" t="str">
        <f t="shared" ca="1" si="254"/>
        <v/>
      </c>
      <c r="Z530" s="315" t="str">
        <f t="shared" ca="1" si="255"/>
        <v/>
      </c>
      <c r="AA530" s="316" t="str">
        <f t="shared" ca="1" si="256"/>
        <v/>
      </c>
      <c r="AC530" s="310" t="e">
        <f t="shared" ca="1" si="257"/>
        <v>#N/A</v>
      </c>
      <c r="AD530" s="323" t="e">
        <f t="shared" ca="1" si="258"/>
        <v>#N/A</v>
      </c>
      <c r="AE530" s="324" t="e">
        <f t="shared" ca="1" si="237"/>
        <v>#N/A</v>
      </c>
      <c r="AG530" s="306">
        <f t="shared" ca="1" si="259"/>
        <v>1.4774965282273431</v>
      </c>
      <c r="AH530" s="304">
        <f t="shared" ca="1" si="260"/>
        <v>-8.3073533656169207</v>
      </c>
    </row>
    <row r="531" spans="1:34" x14ac:dyDescent="0.3">
      <c r="A531" s="347">
        <f t="shared" ca="1" si="238"/>
        <v>1E-4</v>
      </c>
      <c r="B531" s="304">
        <f t="shared" ca="1" si="239"/>
        <v>16.118599999999919</v>
      </c>
      <c r="D531" s="306">
        <f t="shared" ca="1" si="240"/>
        <v>-0.59446886672952981</v>
      </c>
      <c r="E531" s="307">
        <f t="shared" ca="1" si="241"/>
        <v>-1.523892445184357</v>
      </c>
      <c r="F531" s="304">
        <f t="shared" ca="1" si="242"/>
        <v>1.6357387988308676</v>
      </c>
      <c r="G531" s="306">
        <f t="shared" ca="1" si="243"/>
        <v>3.7432872270912316</v>
      </c>
      <c r="H531" s="307">
        <f t="shared" ca="1" si="244"/>
        <v>-52.177440202795722</v>
      </c>
      <c r="I531" s="304">
        <f t="shared" ca="1" si="245"/>
        <v>52.311542372413641</v>
      </c>
      <c r="J531" s="306">
        <f t="shared" ca="1" si="246"/>
        <v>150.09587023194715</v>
      </c>
      <c r="K531" s="307">
        <f t="shared" ca="1" si="247"/>
        <v>-3.7943925443040123</v>
      </c>
      <c r="L531" s="304">
        <f t="shared" ca="1" si="232"/>
        <v>150.14382330107949</v>
      </c>
      <c r="M531" s="306">
        <f t="shared" ca="1" si="248"/>
        <v>-1.4991775402671734</v>
      </c>
      <c r="N531" s="304">
        <f t="shared" ca="1" si="249"/>
        <v>-85.896545798113067</v>
      </c>
      <c r="P531" s="310">
        <f t="shared" ca="1" si="250"/>
        <v>23</v>
      </c>
      <c r="Q531" s="304">
        <f t="shared" ca="1" si="251"/>
        <v>0</v>
      </c>
      <c r="R531" s="306">
        <f t="shared" ca="1" si="252"/>
        <v>0</v>
      </c>
      <c r="S531" s="307">
        <f t="shared" ca="1" si="253"/>
        <v>0.4270000000000001</v>
      </c>
      <c r="T531" s="304">
        <f t="shared" ca="1" si="233"/>
        <v>4.1888700000000014</v>
      </c>
      <c r="U531" s="311">
        <f t="shared" ca="1" si="234"/>
        <v>0</v>
      </c>
      <c r="V531" s="306">
        <f t="shared" ca="1" si="235"/>
        <v>1.2254649012875762</v>
      </c>
      <c r="W531" s="304">
        <f t="shared" ca="1" si="236"/>
        <v>3.5472836640896359</v>
      </c>
      <c r="Y531" s="314" t="str">
        <f t="shared" ca="1" si="254"/>
        <v/>
      </c>
      <c r="Z531" s="315" t="str">
        <f t="shared" ca="1" si="255"/>
        <v/>
      </c>
      <c r="AA531" s="316" t="str">
        <f t="shared" ca="1" si="256"/>
        <v/>
      </c>
      <c r="AC531" s="310" t="e">
        <f t="shared" ca="1" si="257"/>
        <v>#N/A</v>
      </c>
      <c r="AD531" s="323" t="e">
        <f t="shared" ca="1" si="258"/>
        <v>#N/A</v>
      </c>
      <c r="AE531" s="324" t="e">
        <f t="shared" ca="1" si="237"/>
        <v>#N/A</v>
      </c>
      <c r="AG531" s="306">
        <f t="shared" ca="1" si="259"/>
        <v>1.4774462085022009</v>
      </c>
      <c r="AH531" s="304">
        <f t="shared" ca="1" si="260"/>
        <v>-8.3074046274082232</v>
      </c>
    </row>
    <row r="532" spans="1:34" x14ac:dyDescent="0.3">
      <c r="A532" s="347">
        <f t="shared" ca="1" si="238"/>
        <v>1E-4</v>
      </c>
      <c r="B532" s="304">
        <f t="shared" ca="1" si="239"/>
        <v>16.118699999999919</v>
      </c>
      <c r="D532" s="306">
        <f t="shared" ca="1" si="240"/>
        <v>-0.5944614152844423</v>
      </c>
      <c r="E532" s="307">
        <f t="shared" ca="1" si="241"/>
        <v>-1.523840518464338</v>
      </c>
      <c r="F532" s="304">
        <f t="shared" ca="1" si="242"/>
        <v>1.6356877146862858</v>
      </c>
      <c r="G532" s="306">
        <f t="shared" ca="1" si="243"/>
        <v>3.7432277809497032</v>
      </c>
      <c r="H532" s="307">
        <f t="shared" ca="1" si="244"/>
        <v>-52.177592586847567</v>
      </c>
      <c r="I532" s="304">
        <f t="shared" ca="1" si="245"/>
        <v>52.311690112049753</v>
      </c>
      <c r="J532" s="306">
        <f t="shared" ca="1" si="246"/>
        <v>150.09587023194715</v>
      </c>
      <c r="K532" s="307">
        <f t="shared" ca="1" si="247"/>
        <v>-3.7996102959434945</v>
      </c>
      <c r="L532" s="304">
        <f t="shared" ca="1" si="232"/>
        <v>150.14395525323874</v>
      </c>
      <c r="M532" s="306">
        <f t="shared" ca="1" si="248"/>
        <v>-1.4991788821848784</v>
      </c>
      <c r="N532" s="304">
        <f t="shared" ca="1" si="249"/>
        <v>-85.896622684334005</v>
      </c>
      <c r="P532" s="310">
        <f t="shared" ca="1" si="250"/>
        <v>23</v>
      </c>
      <c r="Q532" s="304">
        <f t="shared" ca="1" si="251"/>
        <v>0</v>
      </c>
      <c r="R532" s="306">
        <f t="shared" ca="1" si="252"/>
        <v>0</v>
      </c>
      <c r="S532" s="307">
        <f t="shared" ca="1" si="253"/>
        <v>0.4270000000000001</v>
      </c>
      <c r="T532" s="304">
        <f t="shared" ca="1" si="233"/>
        <v>4.1888700000000014</v>
      </c>
      <c r="U532" s="311">
        <f t="shared" ca="1" si="234"/>
        <v>0</v>
      </c>
      <c r="V532" s="306">
        <f t="shared" ca="1" si="235"/>
        <v>1.225465540704916</v>
      </c>
      <c r="W532" s="304">
        <f t="shared" ca="1" si="236"/>
        <v>3.5473055516774044</v>
      </c>
      <c r="Y532" s="314" t="str">
        <f t="shared" ca="1" si="254"/>
        <v/>
      </c>
      <c r="Z532" s="315" t="str">
        <f t="shared" ca="1" si="255"/>
        <v/>
      </c>
      <c r="AA532" s="316" t="str">
        <f t="shared" ca="1" si="256"/>
        <v/>
      </c>
      <c r="AC532" s="310" t="e">
        <f t="shared" ca="1" si="257"/>
        <v>#N/A</v>
      </c>
      <c r="AD532" s="323" t="e">
        <f t="shared" ca="1" si="258"/>
        <v>#N/A</v>
      </c>
      <c r="AE532" s="324" t="e">
        <f t="shared" ca="1" si="237"/>
        <v>#N/A</v>
      </c>
      <c r="AG532" s="306">
        <f t="shared" ca="1" si="259"/>
        <v>1.4773958901409383</v>
      </c>
      <c r="AH532" s="304">
        <f t="shared" ca="1" si="260"/>
        <v>-8.3074558877977402</v>
      </c>
    </row>
    <row r="533" spans="1:34" x14ac:dyDescent="0.3">
      <c r="A533" s="347">
        <f t="shared" ca="1" si="238"/>
        <v>1E-4</v>
      </c>
      <c r="B533" s="304">
        <f t="shared" ca="1" si="239"/>
        <v>16.118799999999919</v>
      </c>
      <c r="D533" s="306">
        <f t="shared" ca="1" si="240"/>
        <v>-0.59445396384015203</v>
      </c>
      <c r="E533" s="307">
        <f t="shared" ca="1" si="241"/>
        <v>-1.5237885931647455</v>
      </c>
      <c r="F533" s="304">
        <f t="shared" ca="1" si="242"/>
        <v>1.6356366319522999</v>
      </c>
      <c r="G533" s="306">
        <f t="shared" ca="1" si="243"/>
        <v>3.7431683355533192</v>
      </c>
      <c r="H533" s="307">
        <f t="shared" ca="1" si="244"/>
        <v>-52.177744965706886</v>
      </c>
      <c r="I533" s="304">
        <f t="shared" ca="1" si="245"/>
        <v>52.311837846654171</v>
      </c>
      <c r="J533" s="306">
        <f t="shared" ca="1" si="246"/>
        <v>150.09587023194715</v>
      </c>
      <c r="K533" s="307">
        <f t="shared" ca="1" si="247"/>
        <v>-3.8048280628211222</v>
      </c>
      <c r="L533" s="304">
        <f t="shared" ca="1" si="232"/>
        <v>150.14408738699353</v>
      </c>
      <c r="M533" s="306">
        <f t="shared" ca="1" si="248"/>
        <v>-1.4991802240736933</v>
      </c>
      <c r="N533" s="304">
        <f t="shared" ca="1" si="249"/>
        <v>-85.896699568899692</v>
      </c>
      <c r="P533" s="310">
        <f t="shared" ca="1" si="250"/>
        <v>23</v>
      </c>
      <c r="Q533" s="304">
        <f t="shared" ca="1" si="251"/>
        <v>0</v>
      </c>
      <c r="R533" s="306">
        <f t="shared" ca="1" si="252"/>
        <v>0</v>
      </c>
      <c r="S533" s="307">
        <f t="shared" ca="1" si="253"/>
        <v>0.4270000000000001</v>
      </c>
      <c r="T533" s="304">
        <f t="shared" ca="1" si="233"/>
        <v>4.1888700000000014</v>
      </c>
      <c r="U533" s="311">
        <f t="shared" ca="1" si="234"/>
        <v>0</v>
      </c>
      <c r="V533" s="306">
        <f t="shared" ca="1" si="235"/>
        <v>1.2254661801244566</v>
      </c>
      <c r="W533" s="304">
        <f t="shared" ca="1" si="236"/>
        <v>3.5473274386666303</v>
      </c>
      <c r="Y533" s="314" t="str">
        <f t="shared" ca="1" si="254"/>
        <v/>
      </c>
      <c r="Z533" s="315" t="str">
        <f t="shared" ca="1" si="255"/>
        <v/>
      </c>
      <c r="AA533" s="316" t="str">
        <f t="shared" ca="1" si="256"/>
        <v/>
      </c>
      <c r="AC533" s="310" t="e">
        <f t="shared" ca="1" si="257"/>
        <v>#N/A</v>
      </c>
      <c r="AD533" s="323" t="e">
        <f t="shared" ca="1" si="258"/>
        <v>#N/A</v>
      </c>
      <c r="AE533" s="324" t="e">
        <f t="shared" ca="1" si="237"/>
        <v>#N/A</v>
      </c>
      <c r="AG533" s="306">
        <f t="shared" ca="1" si="259"/>
        <v>1.4773455731435448</v>
      </c>
      <c r="AH533" s="304">
        <f t="shared" ca="1" si="260"/>
        <v>-8.307507146785488</v>
      </c>
    </row>
    <row r="534" spans="1:34" x14ac:dyDescent="0.3">
      <c r="A534" s="347">
        <f t="shared" ca="1" si="238"/>
        <v>1E-4</v>
      </c>
      <c r="B534" s="304">
        <f t="shared" ca="1" si="239"/>
        <v>16.118899999999918</v>
      </c>
      <c r="D534" s="306">
        <f t="shared" ca="1" si="240"/>
        <v>-0.59444651239666224</v>
      </c>
      <c r="E534" s="307">
        <f t="shared" ca="1" si="241"/>
        <v>-1.5237366692855492</v>
      </c>
      <c r="F534" s="304">
        <f t="shared" ca="1" si="242"/>
        <v>1.6355855506288792</v>
      </c>
      <c r="G534" s="306">
        <f t="shared" ca="1" si="243"/>
        <v>3.7431088909020795</v>
      </c>
      <c r="H534" s="307">
        <f t="shared" ca="1" si="244"/>
        <v>-52.177897339373814</v>
      </c>
      <c r="I534" s="304">
        <f t="shared" ca="1" si="245"/>
        <v>52.311985576227016</v>
      </c>
      <c r="J534" s="306">
        <f t="shared" ca="1" si="246"/>
        <v>150.09587023194715</v>
      </c>
      <c r="K534" s="307">
        <f t="shared" ca="1" si="247"/>
        <v>-3.8100458449363761</v>
      </c>
      <c r="L534" s="304">
        <f t="shared" ca="1" si="232"/>
        <v>150.14421970234497</v>
      </c>
      <c r="M534" s="306">
        <f t="shared" ca="1" si="248"/>
        <v>-1.4991815659336192</v>
      </c>
      <c r="N534" s="304">
        <f t="shared" ca="1" si="249"/>
        <v>-85.896776451810126</v>
      </c>
      <c r="P534" s="310">
        <f t="shared" ca="1" si="250"/>
        <v>23</v>
      </c>
      <c r="Q534" s="304">
        <f t="shared" ca="1" si="251"/>
        <v>0</v>
      </c>
      <c r="R534" s="306">
        <f t="shared" ca="1" si="252"/>
        <v>0</v>
      </c>
      <c r="S534" s="307">
        <f t="shared" ca="1" si="253"/>
        <v>0.4270000000000001</v>
      </c>
      <c r="T534" s="304">
        <f t="shared" ca="1" si="233"/>
        <v>4.1888700000000014</v>
      </c>
      <c r="U534" s="311">
        <f t="shared" ca="1" si="234"/>
        <v>0</v>
      </c>
      <c r="V534" s="306">
        <f t="shared" ca="1" si="235"/>
        <v>1.2254668195461984</v>
      </c>
      <c r="W534" s="304">
        <f t="shared" ca="1" si="236"/>
        <v>3.5473493250573251</v>
      </c>
      <c r="Y534" s="314" t="str">
        <f t="shared" ca="1" si="254"/>
        <v/>
      </c>
      <c r="Z534" s="315" t="str">
        <f t="shared" ca="1" si="255"/>
        <v/>
      </c>
      <c r="AA534" s="316" t="str">
        <f t="shared" ca="1" si="256"/>
        <v/>
      </c>
      <c r="AC534" s="310" t="e">
        <f t="shared" ca="1" si="257"/>
        <v>#N/A</v>
      </c>
      <c r="AD534" s="323" t="e">
        <f t="shared" ca="1" si="258"/>
        <v>#N/A</v>
      </c>
      <c r="AE534" s="324" t="e">
        <f t="shared" ca="1" si="237"/>
        <v>#N/A</v>
      </c>
      <c r="AG534" s="306">
        <f t="shared" ca="1" si="259"/>
        <v>1.4772952575099882</v>
      </c>
      <c r="AH534" s="304">
        <f t="shared" ca="1" si="260"/>
        <v>-8.3075584043714983</v>
      </c>
    </row>
    <row r="535" spans="1:34" x14ac:dyDescent="0.3">
      <c r="A535" s="347">
        <f t="shared" ca="1" si="238"/>
        <v>1E-4</v>
      </c>
      <c r="B535" s="304">
        <f t="shared" ca="1" si="239"/>
        <v>16.118999999999918</v>
      </c>
      <c r="D535" s="306">
        <f t="shared" ca="1" si="240"/>
        <v>-0.59443906095397736</v>
      </c>
      <c r="E535" s="307">
        <f t="shared" ca="1" si="241"/>
        <v>-1.5236847468267243</v>
      </c>
      <c r="F535" s="304">
        <f t="shared" ca="1" si="242"/>
        <v>1.6355344707159996</v>
      </c>
      <c r="G535" s="306">
        <f t="shared" ca="1" si="243"/>
        <v>3.7430494469959843</v>
      </c>
      <c r="H535" s="307">
        <f t="shared" ca="1" si="244"/>
        <v>-52.178049707848494</v>
      </c>
      <c r="I535" s="304">
        <f t="shared" ca="1" si="245"/>
        <v>52.31213330076843</v>
      </c>
      <c r="J535" s="306">
        <f t="shared" ca="1" si="246"/>
        <v>150.09587023194715</v>
      </c>
      <c r="K535" s="307">
        <f t="shared" ca="1" si="247"/>
        <v>-3.8152636422887372</v>
      </c>
      <c r="L535" s="304">
        <f t="shared" ca="1" si="232"/>
        <v>150.14435219929416</v>
      </c>
      <c r="M535" s="306">
        <f t="shared" ca="1" si="248"/>
        <v>-1.4991829077646566</v>
      </c>
      <c r="N535" s="304">
        <f t="shared" ca="1" si="249"/>
        <v>-85.896853333065394</v>
      </c>
      <c r="P535" s="310">
        <f t="shared" ca="1" si="250"/>
        <v>23</v>
      </c>
      <c r="Q535" s="304">
        <f t="shared" ca="1" si="251"/>
        <v>0</v>
      </c>
      <c r="R535" s="306">
        <f t="shared" ca="1" si="252"/>
        <v>0</v>
      </c>
      <c r="S535" s="307">
        <f t="shared" ca="1" si="253"/>
        <v>0.4270000000000001</v>
      </c>
      <c r="T535" s="304">
        <f t="shared" ca="1" si="233"/>
        <v>4.1888700000000014</v>
      </c>
      <c r="U535" s="311">
        <f t="shared" ca="1" si="234"/>
        <v>0</v>
      </c>
      <c r="V535" s="306">
        <f t="shared" ca="1" si="235"/>
        <v>1.2254674589701413</v>
      </c>
      <c r="W535" s="304">
        <f t="shared" ca="1" si="236"/>
        <v>3.5473712108495015</v>
      </c>
      <c r="Y535" s="314" t="str">
        <f t="shared" ca="1" si="254"/>
        <v/>
      </c>
      <c r="Z535" s="315" t="str">
        <f t="shared" ca="1" si="255"/>
        <v/>
      </c>
      <c r="AA535" s="316" t="str">
        <f t="shared" ca="1" si="256"/>
        <v/>
      </c>
      <c r="AC535" s="310" t="e">
        <f t="shared" ca="1" si="257"/>
        <v>#N/A</v>
      </c>
      <c r="AD535" s="323" t="e">
        <f t="shared" ca="1" si="258"/>
        <v>#N/A</v>
      </c>
      <c r="AE535" s="324" t="e">
        <f t="shared" ca="1" si="237"/>
        <v>#N/A</v>
      </c>
      <c r="AG535" s="306">
        <f t="shared" ca="1" si="259"/>
        <v>1.477244943240251</v>
      </c>
      <c r="AH535" s="304">
        <f t="shared" ca="1" si="260"/>
        <v>-8.3076096605557943</v>
      </c>
    </row>
    <row r="536" spans="1:34" x14ac:dyDescent="0.3">
      <c r="A536" s="347">
        <f t="shared" ca="1" si="238"/>
        <v>1E-4</v>
      </c>
      <c r="B536" s="304">
        <f t="shared" ca="1" si="239"/>
        <v>16.119099999999918</v>
      </c>
      <c r="D536" s="306">
        <f t="shared" ca="1" si="240"/>
        <v>-0.5944316095121045</v>
      </c>
      <c r="E536" s="307">
        <f t="shared" ca="1" si="241"/>
        <v>-1.5236328257882352</v>
      </c>
      <c r="F536" s="304">
        <f t="shared" ca="1" si="242"/>
        <v>1.6354833922136274</v>
      </c>
      <c r="G536" s="306">
        <f t="shared" ca="1" si="243"/>
        <v>3.742990003835033</v>
      </c>
      <c r="H536" s="307">
        <f t="shared" ca="1" si="244"/>
        <v>-52.178202071131075</v>
      </c>
      <c r="I536" s="304">
        <f t="shared" ca="1" si="245"/>
        <v>52.312281020278554</v>
      </c>
      <c r="J536" s="306">
        <f t="shared" ca="1" si="246"/>
        <v>150.09587023194715</v>
      </c>
      <c r="K536" s="307">
        <f t="shared" ca="1" si="247"/>
        <v>-3.8204814548776862</v>
      </c>
      <c r="L536" s="304">
        <f t="shared" ca="1" si="232"/>
        <v>150.14448487784219</v>
      </c>
      <c r="M536" s="306">
        <f t="shared" ca="1" si="248"/>
        <v>-1.4991842495668062</v>
      </c>
      <c r="N536" s="304">
        <f t="shared" ca="1" si="249"/>
        <v>-85.896930212665509</v>
      </c>
      <c r="P536" s="310">
        <f t="shared" ca="1" si="250"/>
        <v>23</v>
      </c>
      <c r="Q536" s="304">
        <f t="shared" ca="1" si="251"/>
        <v>0</v>
      </c>
      <c r="R536" s="306">
        <f t="shared" ca="1" si="252"/>
        <v>0</v>
      </c>
      <c r="S536" s="307">
        <f t="shared" ca="1" si="253"/>
        <v>0.4270000000000001</v>
      </c>
      <c r="T536" s="304">
        <f t="shared" ca="1" si="233"/>
        <v>4.1888700000000014</v>
      </c>
      <c r="U536" s="311">
        <f t="shared" ca="1" si="234"/>
        <v>0</v>
      </c>
      <c r="V536" s="306">
        <f t="shared" ca="1" si="235"/>
        <v>1.2254680983962847</v>
      </c>
      <c r="W536" s="304">
        <f t="shared" ca="1" si="236"/>
        <v>3.5473930960431685</v>
      </c>
      <c r="Y536" s="314" t="str">
        <f t="shared" ca="1" si="254"/>
        <v/>
      </c>
      <c r="Z536" s="315" t="str">
        <f t="shared" ca="1" si="255"/>
        <v/>
      </c>
      <c r="AA536" s="316" t="str">
        <f t="shared" ca="1" si="256"/>
        <v/>
      </c>
      <c r="AC536" s="310" t="e">
        <f t="shared" ca="1" si="257"/>
        <v>#N/A</v>
      </c>
      <c r="AD536" s="323" t="e">
        <f t="shared" ca="1" si="258"/>
        <v>#N/A</v>
      </c>
      <c r="AE536" s="324" t="e">
        <f t="shared" ca="1" si="237"/>
        <v>#N/A</v>
      </c>
      <c r="AG536" s="306">
        <f t="shared" ca="1" si="259"/>
        <v>1.4771946303342958</v>
      </c>
      <c r="AH536" s="304">
        <f t="shared" ca="1" si="260"/>
        <v>-8.3076609153384098</v>
      </c>
    </row>
    <row r="537" spans="1:34" x14ac:dyDescent="0.3">
      <c r="A537" s="347">
        <f t="shared" ca="1" si="238"/>
        <v>1E-4</v>
      </c>
      <c r="B537" s="304">
        <f t="shared" ca="1" si="239"/>
        <v>16.119199999999918</v>
      </c>
      <c r="D537" s="306">
        <f t="shared" ca="1" si="240"/>
        <v>-0.59442415807104954</v>
      </c>
      <c r="E537" s="307">
        <f t="shared" ca="1" si="241"/>
        <v>-1.5235809061700678</v>
      </c>
      <c r="F537" s="304">
        <f t="shared" ca="1" si="242"/>
        <v>1.6354323151217482</v>
      </c>
      <c r="G537" s="306">
        <f t="shared" ca="1" si="243"/>
        <v>3.7429305614192261</v>
      </c>
      <c r="H537" s="307">
        <f t="shared" ca="1" si="244"/>
        <v>-52.178354429221692</v>
      </c>
      <c r="I537" s="304">
        <f t="shared" ca="1" si="245"/>
        <v>52.312428734757525</v>
      </c>
      <c r="J537" s="306">
        <f t="shared" ca="1" si="246"/>
        <v>150.09587023194715</v>
      </c>
      <c r="K537" s="307">
        <f t="shared" ca="1" si="247"/>
        <v>-3.8256992827027037</v>
      </c>
      <c r="L537" s="304">
        <f t="shared" ca="1" si="232"/>
        <v>150.14461773799016</v>
      </c>
      <c r="M537" s="306">
        <f t="shared" ca="1" si="248"/>
        <v>-1.4991855913400691</v>
      </c>
      <c r="N537" s="304">
        <f t="shared" ca="1" si="249"/>
        <v>-85.897007090610543</v>
      </c>
      <c r="P537" s="310">
        <f t="shared" ca="1" si="250"/>
        <v>23</v>
      </c>
      <c r="Q537" s="304">
        <f t="shared" ca="1" si="251"/>
        <v>0</v>
      </c>
      <c r="R537" s="306">
        <f t="shared" ca="1" si="252"/>
        <v>0</v>
      </c>
      <c r="S537" s="307">
        <f t="shared" ca="1" si="253"/>
        <v>0.4270000000000001</v>
      </c>
      <c r="T537" s="304">
        <f t="shared" ca="1" si="233"/>
        <v>4.1888700000000014</v>
      </c>
      <c r="U537" s="311">
        <f t="shared" ca="1" si="234"/>
        <v>0</v>
      </c>
      <c r="V537" s="306">
        <f t="shared" ca="1" si="235"/>
        <v>1.225468737824629</v>
      </c>
      <c r="W537" s="304">
        <f t="shared" ca="1" si="236"/>
        <v>3.547414980638341</v>
      </c>
      <c r="Y537" s="314" t="str">
        <f t="shared" ca="1" si="254"/>
        <v/>
      </c>
      <c r="Z537" s="315" t="str">
        <f t="shared" ca="1" si="255"/>
        <v/>
      </c>
      <c r="AA537" s="316" t="str">
        <f t="shared" ca="1" si="256"/>
        <v/>
      </c>
      <c r="AC537" s="310" t="e">
        <f t="shared" ca="1" si="257"/>
        <v>#N/A</v>
      </c>
      <c r="AD537" s="323" t="e">
        <f t="shared" ca="1" si="258"/>
        <v>#N/A</v>
      </c>
      <c r="AE537" s="324" t="e">
        <f t="shared" ca="1" si="237"/>
        <v>#N/A</v>
      </c>
      <c r="AG537" s="306">
        <f t="shared" ca="1" si="259"/>
        <v>1.4771443187921083</v>
      </c>
      <c r="AH537" s="304">
        <f t="shared" ca="1" si="260"/>
        <v>-8.3077121687193625</v>
      </c>
    </row>
    <row r="538" spans="1:34" x14ac:dyDescent="0.3">
      <c r="A538" s="347">
        <f t="shared" ca="1" si="238"/>
        <v>1E-4</v>
      </c>
      <c r="B538" s="304">
        <f t="shared" ca="1" si="239"/>
        <v>16.119299999999917</v>
      </c>
      <c r="D538" s="306">
        <f t="shared" ca="1" si="240"/>
        <v>-0.59441670663081581</v>
      </c>
      <c r="E538" s="307">
        <f t="shared" ca="1" si="241"/>
        <v>-1.5235289879721794</v>
      </c>
      <c r="F538" s="304">
        <f t="shared" ca="1" si="242"/>
        <v>1.6353812394403202</v>
      </c>
      <c r="G538" s="306">
        <f t="shared" ca="1" si="243"/>
        <v>3.7428711197485631</v>
      </c>
      <c r="H538" s="307">
        <f t="shared" ca="1" si="244"/>
        <v>-52.178506782120486</v>
      </c>
      <c r="I538" s="304">
        <f t="shared" ca="1" si="245"/>
        <v>52.312576444205476</v>
      </c>
      <c r="J538" s="306">
        <f t="shared" ca="1" si="246"/>
        <v>150.09587023194715</v>
      </c>
      <c r="K538" s="307">
        <f t="shared" ca="1" si="247"/>
        <v>-3.8309171257632708</v>
      </c>
      <c r="L538" s="304">
        <f t="shared" ca="1" si="232"/>
        <v>150.14475077973916</v>
      </c>
      <c r="M538" s="306">
        <f t="shared" ca="1" si="248"/>
        <v>-1.4991869330844461</v>
      </c>
      <c r="N538" s="304">
        <f t="shared" ca="1" si="249"/>
        <v>-85.897083966900524</v>
      </c>
      <c r="P538" s="310">
        <f t="shared" ca="1" si="250"/>
        <v>23</v>
      </c>
      <c r="Q538" s="304">
        <f t="shared" ca="1" si="251"/>
        <v>0</v>
      </c>
      <c r="R538" s="306">
        <f t="shared" ca="1" si="252"/>
        <v>0</v>
      </c>
      <c r="S538" s="307">
        <f t="shared" ca="1" si="253"/>
        <v>0.4270000000000001</v>
      </c>
      <c r="T538" s="304">
        <f t="shared" ca="1" si="233"/>
        <v>4.1888700000000014</v>
      </c>
      <c r="U538" s="311">
        <f t="shared" ca="1" si="234"/>
        <v>0</v>
      </c>
      <c r="V538" s="306">
        <f t="shared" ca="1" si="235"/>
        <v>1.2254693772551746</v>
      </c>
      <c r="W538" s="304">
        <f t="shared" ca="1" si="236"/>
        <v>3.5474368646350309</v>
      </c>
      <c r="Y538" s="314" t="str">
        <f t="shared" ca="1" si="254"/>
        <v/>
      </c>
      <c r="Z538" s="315" t="str">
        <f t="shared" ca="1" si="255"/>
        <v/>
      </c>
      <c r="AA538" s="316" t="str">
        <f t="shared" ca="1" si="256"/>
        <v/>
      </c>
      <c r="AC538" s="310" t="e">
        <f t="shared" ca="1" si="257"/>
        <v>#N/A</v>
      </c>
      <c r="AD538" s="323" t="e">
        <f t="shared" ca="1" si="258"/>
        <v>#N/A</v>
      </c>
      <c r="AE538" s="324" t="e">
        <f t="shared" ca="1" si="237"/>
        <v>#N/A</v>
      </c>
      <c r="AG538" s="306">
        <f t="shared" ca="1" si="259"/>
        <v>1.4770940086136566</v>
      </c>
      <c r="AH538" s="304">
        <f t="shared" ca="1" si="260"/>
        <v>-8.3077634206986897</v>
      </c>
    </row>
    <row r="539" spans="1:34" x14ac:dyDescent="0.3">
      <c r="A539" s="347">
        <f t="shared" ca="1" si="238"/>
        <v>1E-4</v>
      </c>
      <c r="B539" s="304">
        <f t="shared" ca="1" si="239"/>
        <v>16.119399999999917</v>
      </c>
      <c r="D539" s="306">
        <f t="shared" ca="1" si="240"/>
        <v>-0.59440925519140997</v>
      </c>
      <c r="E539" s="307">
        <f t="shared" ca="1" si="241"/>
        <v>-1.5234770711945504</v>
      </c>
      <c r="F539" s="304">
        <f t="shared" ca="1" si="242"/>
        <v>1.6353301651693251</v>
      </c>
      <c r="G539" s="306">
        <f t="shared" ca="1" si="243"/>
        <v>3.7428116788230441</v>
      </c>
      <c r="H539" s="307">
        <f t="shared" ca="1" si="244"/>
        <v>-52.178659129827608</v>
      </c>
      <c r="I539" s="304">
        <f t="shared" ca="1" si="245"/>
        <v>52.312724148622543</v>
      </c>
      <c r="J539" s="306">
        <f t="shared" ca="1" si="246"/>
        <v>150.09587023194715</v>
      </c>
      <c r="K539" s="307">
        <f t="shared" ca="1" si="247"/>
        <v>-3.8361349840588681</v>
      </c>
      <c r="L539" s="304">
        <f t="shared" ca="1" si="232"/>
        <v>150.14488400309028</v>
      </c>
      <c r="M539" s="306">
        <f t="shared" ca="1" si="248"/>
        <v>-1.4991882747999379</v>
      </c>
      <c r="N539" s="304">
        <f t="shared" ca="1" si="249"/>
        <v>-85.897160841535509</v>
      </c>
      <c r="P539" s="310">
        <f t="shared" ca="1" si="250"/>
        <v>23</v>
      </c>
      <c r="Q539" s="304">
        <f t="shared" ca="1" si="251"/>
        <v>0</v>
      </c>
      <c r="R539" s="306">
        <f t="shared" ca="1" si="252"/>
        <v>0</v>
      </c>
      <c r="S539" s="307">
        <f t="shared" ca="1" si="253"/>
        <v>0.4270000000000001</v>
      </c>
      <c r="T539" s="304">
        <f t="shared" ca="1" si="233"/>
        <v>4.1888700000000014</v>
      </c>
      <c r="U539" s="311">
        <f t="shared" ca="1" si="234"/>
        <v>0</v>
      </c>
      <c r="V539" s="306">
        <f t="shared" ca="1" si="235"/>
        <v>1.2254700166879202</v>
      </c>
      <c r="W539" s="304">
        <f t="shared" ca="1" si="236"/>
        <v>3.5474587480332471</v>
      </c>
      <c r="Y539" s="314" t="str">
        <f t="shared" ca="1" si="254"/>
        <v/>
      </c>
      <c r="Z539" s="315" t="str">
        <f t="shared" ca="1" si="255"/>
        <v/>
      </c>
      <c r="AA539" s="316" t="str">
        <f t="shared" ca="1" si="256"/>
        <v/>
      </c>
      <c r="AC539" s="310" t="e">
        <f t="shared" ca="1" si="257"/>
        <v>#N/A</v>
      </c>
      <c r="AD539" s="323" t="e">
        <f t="shared" ca="1" si="258"/>
        <v>#N/A</v>
      </c>
      <c r="AE539" s="324" t="e">
        <f t="shared" ca="1" si="237"/>
        <v>#N/A</v>
      </c>
      <c r="AG539" s="306">
        <f t="shared" ca="1" si="259"/>
        <v>1.477043699798914</v>
      </c>
      <c r="AH539" s="304">
        <f t="shared" ca="1" si="260"/>
        <v>-8.3078146712764163</v>
      </c>
    </row>
    <row r="540" spans="1:34" x14ac:dyDescent="0.3">
      <c r="A540" s="347">
        <f t="shared" ca="1" si="238"/>
        <v>1E-4</v>
      </c>
      <c r="B540" s="304">
        <f t="shared" ca="1" si="239"/>
        <v>16.119499999999917</v>
      </c>
      <c r="D540" s="306">
        <f t="shared" ca="1" si="240"/>
        <v>-0.59440180375283647</v>
      </c>
      <c r="E540" s="307">
        <f t="shared" ca="1" si="241"/>
        <v>-1.5234251558371508</v>
      </c>
      <c r="F540" s="304">
        <f t="shared" ca="1" si="242"/>
        <v>1.6352790923087326</v>
      </c>
      <c r="G540" s="306">
        <f t="shared" ca="1" si="243"/>
        <v>3.742752238642669</v>
      </c>
      <c r="H540" s="307">
        <f t="shared" ca="1" si="244"/>
        <v>-52.178811472343192</v>
      </c>
      <c r="I540" s="304">
        <f t="shared" ca="1" si="245"/>
        <v>52.312871848008861</v>
      </c>
      <c r="J540" s="306">
        <f t="shared" ca="1" si="246"/>
        <v>150.09587023194715</v>
      </c>
      <c r="K540" s="307">
        <f t="shared" ca="1" si="247"/>
        <v>-3.8413528575889768</v>
      </c>
      <c r="L540" s="304">
        <f t="shared" ca="1" si="232"/>
        <v>150.14501740804462</v>
      </c>
      <c r="M540" s="306">
        <f t="shared" ca="1" si="248"/>
        <v>-1.4991896164865453</v>
      </c>
      <c r="N540" s="304">
        <f t="shared" ca="1" si="249"/>
        <v>-85.897237714515541</v>
      </c>
      <c r="P540" s="310">
        <f t="shared" ca="1" si="250"/>
        <v>23</v>
      </c>
      <c r="Q540" s="304">
        <f t="shared" ca="1" si="251"/>
        <v>0</v>
      </c>
      <c r="R540" s="306">
        <f t="shared" ca="1" si="252"/>
        <v>0</v>
      </c>
      <c r="S540" s="307">
        <f t="shared" ca="1" si="253"/>
        <v>0.4270000000000001</v>
      </c>
      <c r="T540" s="304">
        <f t="shared" ca="1" si="233"/>
        <v>4.1888700000000014</v>
      </c>
      <c r="U540" s="311">
        <f t="shared" ca="1" si="234"/>
        <v>0</v>
      </c>
      <c r="V540" s="306">
        <f t="shared" ca="1" si="235"/>
        <v>1.2254706561228668</v>
      </c>
      <c r="W540" s="304">
        <f t="shared" ca="1" si="236"/>
        <v>3.5474806308330025</v>
      </c>
      <c r="Y540" s="314" t="str">
        <f t="shared" ca="1" si="254"/>
        <v/>
      </c>
      <c r="Z540" s="315" t="str">
        <f t="shared" ca="1" si="255"/>
        <v/>
      </c>
      <c r="AA540" s="316" t="str">
        <f t="shared" ca="1" si="256"/>
        <v/>
      </c>
      <c r="AC540" s="310" t="e">
        <f t="shared" ca="1" si="257"/>
        <v>#N/A</v>
      </c>
      <c r="AD540" s="323" t="e">
        <f t="shared" ca="1" si="258"/>
        <v>#N/A</v>
      </c>
      <c r="AE540" s="324" t="e">
        <f t="shared" ca="1" si="237"/>
        <v>#N/A</v>
      </c>
      <c r="AG540" s="306">
        <f t="shared" ca="1" si="259"/>
        <v>1.4769933923478558</v>
      </c>
      <c r="AH540" s="304">
        <f t="shared" ca="1" si="260"/>
        <v>-8.3078659204525671</v>
      </c>
    </row>
    <row r="541" spans="1:34" x14ac:dyDescent="0.3">
      <c r="A541" s="347">
        <f t="shared" ca="1" si="238"/>
        <v>1E-4</v>
      </c>
      <c r="B541" s="304">
        <f t="shared" ca="1" si="239"/>
        <v>16.119599999999917</v>
      </c>
      <c r="D541" s="306">
        <f t="shared" ca="1" si="240"/>
        <v>-0.59439435231510185</v>
      </c>
      <c r="E541" s="307">
        <f t="shared" ca="1" si="241"/>
        <v>-1.5233732418999537</v>
      </c>
      <c r="F541" s="304">
        <f t="shared" ca="1" si="242"/>
        <v>1.6352280208585175</v>
      </c>
      <c r="G541" s="306">
        <f t="shared" ca="1" si="243"/>
        <v>3.7426927992074375</v>
      </c>
      <c r="H541" s="307">
        <f t="shared" ca="1" si="244"/>
        <v>-52.17896380966738</v>
      </c>
      <c r="I541" s="304">
        <f t="shared" ca="1" si="245"/>
        <v>52.313019542364565</v>
      </c>
      <c r="J541" s="306">
        <f t="shared" ca="1" si="246"/>
        <v>150.09587023194715</v>
      </c>
      <c r="K541" s="307">
        <f t="shared" ca="1" si="247"/>
        <v>-3.8465707463530774</v>
      </c>
      <c r="L541" s="304">
        <f t="shared" ca="1" si="232"/>
        <v>150.14515099460328</v>
      </c>
      <c r="M541" s="306">
        <f t="shared" ca="1" si="248"/>
        <v>-1.4991909581442695</v>
      </c>
      <c r="N541" s="304">
        <f t="shared" ca="1" si="249"/>
        <v>-85.897314585840689</v>
      </c>
      <c r="P541" s="310">
        <f t="shared" ca="1" si="250"/>
        <v>23</v>
      </c>
      <c r="Q541" s="304">
        <f t="shared" ca="1" si="251"/>
        <v>0</v>
      </c>
      <c r="R541" s="306">
        <f t="shared" ca="1" si="252"/>
        <v>0</v>
      </c>
      <c r="S541" s="307">
        <f t="shared" ca="1" si="253"/>
        <v>0.4270000000000001</v>
      </c>
      <c r="T541" s="304">
        <f t="shared" ca="1" si="233"/>
        <v>4.1888700000000014</v>
      </c>
      <c r="U541" s="311">
        <f t="shared" ca="1" si="234"/>
        <v>0</v>
      </c>
      <c r="V541" s="306">
        <f t="shared" ca="1" si="235"/>
        <v>1.2254712955600142</v>
      </c>
      <c r="W541" s="304">
        <f t="shared" ca="1" si="236"/>
        <v>3.5475025130343081</v>
      </c>
      <c r="Y541" s="314" t="str">
        <f t="shared" ca="1" si="254"/>
        <v/>
      </c>
      <c r="Z541" s="315" t="str">
        <f t="shared" ca="1" si="255"/>
        <v/>
      </c>
      <c r="AA541" s="316" t="str">
        <f t="shared" ca="1" si="256"/>
        <v/>
      </c>
      <c r="AC541" s="310" t="e">
        <f t="shared" ca="1" si="257"/>
        <v>#N/A</v>
      </c>
      <c r="AD541" s="323" t="e">
        <f t="shared" ca="1" si="258"/>
        <v>#N/A</v>
      </c>
      <c r="AE541" s="324" t="e">
        <f t="shared" ca="1" si="237"/>
        <v>#N/A</v>
      </c>
      <c r="AG541" s="306">
        <f t="shared" ca="1" si="259"/>
        <v>1.4769430862604587</v>
      </c>
      <c r="AH541" s="304">
        <f t="shared" ca="1" si="260"/>
        <v>-8.3079171682271706</v>
      </c>
    </row>
    <row r="542" spans="1:34" x14ac:dyDescent="0.3">
      <c r="A542" s="347">
        <f t="shared" ca="1" si="238"/>
        <v>1E-4</v>
      </c>
      <c r="B542" s="304">
        <f t="shared" ca="1" si="239"/>
        <v>16.119699999999916</v>
      </c>
      <c r="D542" s="306">
        <f t="shared" ca="1" si="240"/>
        <v>-0.59438690087820711</v>
      </c>
      <c r="E542" s="307">
        <f t="shared" ca="1" si="241"/>
        <v>-1.5233213293829344</v>
      </c>
      <c r="F542" s="304">
        <f t="shared" ca="1" si="242"/>
        <v>1.6351769508186538</v>
      </c>
      <c r="G542" s="306">
        <f t="shared" ca="1" si="243"/>
        <v>3.7426333605173498</v>
      </c>
      <c r="H542" s="307">
        <f t="shared" ca="1" si="244"/>
        <v>-52.179116141800321</v>
      </c>
      <c r="I542" s="304">
        <f t="shared" ca="1" si="245"/>
        <v>52.31316723168981</v>
      </c>
      <c r="J542" s="306">
        <f t="shared" ca="1" si="246"/>
        <v>150.09587023194715</v>
      </c>
      <c r="K542" s="307">
        <f t="shared" ca="1" si="247"/>
        <v>-3.8517886503506507</v>
      </c>
      <c r="L542" s="304">
        <f t="shared" ca="1" si="232"/>
        <v>150.14528476276732</v>
      </c>
      <c r="M542" s="306">
        <f t="shared" ca="1" si="248"/>
        <v>-1.4991922997731109</v>
      </c>
      <c r="N542" s="304">
        <f t="shared" ca="1" si="249"/>
        <v>-85.897391455510984</v>
      </c>
      <c r="P542" s="310">
        <f t="shared" ca="1" si="250"/>
        <v>23</v>
      </c>
      <c r="Q542" s="304">
        <f t="shared" ca="1" si="251"/>
        <v>0</v>
      </c>
      <c r="R542" s="306">
        <f t="shared" ca="1" si="252"/>
        <v>0</v>
      </c>
      <c r="S542" s="307">
        <f t="shared" ca="1" si="253"/>
        <v>0.4270000000000001</v>
      </c>
      <c r="T542" s="304">
        <f t="shared" ca="1" si="233"/>
        <v>4.1888700000000014</v>
      </c>
      <c r="U542" s="311">
        <f t="shared" ca="1" si="234"/>
        <v>0</v>
      </c>
      <c r="V542" s="306">
        <f t="shared" ca="1" si="235"/>
        <v>1.2254719349993617</v>
      </c>
      <c r="W542" s="304">
        <f t="shared" ca="1" si="236"/>
        <v>3.5475243946371786</v>
      </c>
      <c r="Y542" s="314" t="str">
        <f t="shared" ca="1" si="254"/>
        <v/>
      </c>
      <c r="Z542" s="315" t="str">
        <f t="shared" ca="1" si="255"/>
        <v/>
      </c>
      <c r="AA542" s="316" t="str">
        <f t="shared" ca="1" si="256"/>
        <v/>
      </c>
      <c r="AC542" s="310" t="e">
        <f t="shared" ca="1" si="257"/>
        <v>#N/A</v>
      </c>
      <c r="AD542" s="323" t="e">
        <f t="shared" ca="1" si="258"/>
        <v>#N/A</v>
      </c>
      <c r="AE542" s="324" t="e">
        <f t="shared" ca="1" si="237"/>
        <v>#N/A</v>
      </c>
      <c r="AG542" s="306">
        <f t="shared" ca="1" si="259"/>
        <v>1.4768927815366997</v>
      </c>
      <c r="AH542" s="304">
        <f t="shared" ca="1" si="260"/>
        <v>-8.3079684146002517</v>
      </c>
    </row>
    <row r="543" spans="1:34" x14ac:dyDescent="0.3">
      <c r="A543" s="347">
        <f t="shared" ca="1" si="238"/>
        <v>1E-4</v>
      </c>
      <c r="B543" s="304">
        <f t="shared" ca="1" si="239"/>
        <v>16.119799999999916</v>
      </c>
      <c r="D543" s="306">
        <f t="shared" ca="1" si="240"/>
        <v>-0.59437944944216303</v>
      </c>
      <c r="E543" s="307">
        <f t="shared" ca="1" si="241"/>
        <v>-1.5232694182860591</v>
      </c>
      <c r="F543" s="304">
        <f t="shared" ca="1" si="242"/>
        <v>1.6351258821891108</v>
      </c>
      <c r="G543" s="306">
        <f t="shared" ca="1" si="243"/>
        <v>3.7425739225724057</v>
      </c>
      <c r="H543" s="307">
        <f t="shared" ca="1" si="244"/>
        <v>-52.179268468742151</v>
      </c>
      <c r="I543" s="304">
        <f t="shared" ca="1" si="245"/>
        <v>52.313314915984705</v>
      </c>
      <c r="J543" s="306">
        <f t="shared" ca="1" si="246"/>
        <v>150.09587023194715</v>
      </c>
      <c r="K543" s="307">
        <f t="shared" ca="1" si="247"/>
        <v>-3.8570065695811779</v>
      </c>
      <c r="L543" s="304">
        <f t="shared" ca="1" si="232"/>
        <v>150.14541871253783</v>
      </c>
      <c r="M543" s="306">
        <f t="shared" ca="1" si="248"/>
        <v>-1.4991936413730704</v>
      </c>
      <c r="N543" s="304">
        <f t="shared" ca="1" si="249"/>
        <v>-85.897468323526454</v>
      </c>
      <c r="P543" s="310">
        <f t="shared" ca="1" si="250"/>
        <v>23</v>
      </c>
      <c r="Q543" s="304">
        <f t="shared" ca="1" si="251"/>
        <v>0</v>
      </c>
      <c r="R543" s="306">
        <f t="shared" ca="1" si="252"/>
        <v>0</v>
      </c>
      <c r="S543" s="307">
        <f t="shared" ca="1" si="253"/>
        <v>0.4270000000000001</v>
      </c>
      <c r="T543" s="304">
        <f t="shared" ca="1" si="233"/>
        <v>4.1888700000000014</v>
      </c>
      <c r="U543" s="311">
        <f t="shared" ca="1" si="234"/>
        <v>0</v>
      </c>
      <c r="V543" s="306">
        <f t="shared" ca="1" si="235"/>
        <v>1.2254725744409101</v>
      </c>
      <c r="W543" s="304">
        <f t="shared" ca="1" si="236"/>
        <v>3.5475462756416221</v>
      </c>
      <c r="Y543" s="314" t="str">
        <f t="shared" ca="1" si="254"/>
        <v/>
      </c>
      <c r="Z543" s="315" t="str">
        <f t="shared" ca="1" si="255"/>
        <v/>
      </c>
      <c r="AA543" s="316" t="str">
        <f t="shared" ca="1" si="256"/>
        <v/>
      </c>
      <c r="AC543" s="310" t="e">
        <f t="shared" ca="1" si="257"/>
        <v>#N/A</v>
      </c>
      <c r="AD543" s="323" t="e">
        <f t="shared" ca="1" si="258"/>
        <v>#N/A</v>
      </c>
      <c r="AE543" s="324" t="e">
        <f t="shared" ca="1" si="237"/>
        <v>#N/A</v>
      </c>
      <c r="AG543" s="306">
        <f t="shared" ca="1" si="259"/>
        <v>1.4768424781765415</v>
      </c>
      <c r="AH543" s="304">
        <f t="shared" ca="1" si="260"/>
        <v>-8.3080196595718441</v>
      </c>
    </row>
    <row r="544" spans="1:34" x14ac:dyDescent="0.3">
      <c r="A544" s="347">
        <f t="shared" ca="1" si="238"/>
        <v>1E-4</v>
      </c>
      <c r="B544" s="304">
        <f t="shared" ca="1" si="239"/>
        <v>16.119899999999916</v>
      </c>
      <c r="D544" s="306">
        <f t="shared" ca="1" si="240"/>
        <v>-0.59437199800697194</v>
      </c>
      <c r="E544" s="307">
        <f t="shared" ca="1" si="241"/>
        <v>-1.5232175086093012</v>
      </c>
      <c r="F544" s="304">
        <f t="shared" ca="1" si="242"/>
        <v>1.6350748149698613</v>
      </c>
      <c r="G544" s="306">
        <f t="shared" ca="1" si="243"/>
        <v>3.7425144853726051</v>
      </c>
      <c r="H544" s="307">
        <f t="shared" ca="1" si="244"/>
        <v>-52.179420790493012</v>
      </c>
      <c r="I544" s="304">
        <f t="shared" ca="1" si="245"/>
        <v>52.313462595249398</v>
      </c>
      <c r="J544" s="306">
        <f t="shared" ca="1" si="246"/>
        <v>150.09587023194715</v>
      </c>
      <c r="K544" s="307">
        <f t="shared" ca="1" si="247"/>
        <v>-3.8622245040441396</v>
      </c>
      <c r="L544" s="304">
        <f t="shared" ca="1" si="232"/>
        <v>150.14555284391594</v>
      </c>
      <c r="M544" s="306">
        <f t="shared" ca="1" si="248"/>
        <v>-1.4991949829441491</v>
      </c>
      <c r="N544" s="304">
        <f t="shared" ca="1" si="249"/>
        <v>-85.897545189887182</v>
      </c>
      <c r="P544" s="310">
        <f t="shared" ca="1" si="250"/>
        <v>23</v>
      </c>
      <c r="Q544" s="304">
        <f t="shared" ca="1" si="251"/>
        <v>0</v>
      </c>
      <c r="R544" s="306">
        <f t="shared" ca="1" si="252"/>
        <v>0</v>
      </c>
      <c r="S544" s="307">
        <f t="shared" ca="1" si="253"/>
        <v>0.4270000000000001</v>
      </c>
      <c r="T544" s="304">
        <f t="shared" ca="1" si="233"/>
        <v>4.1888700000000014</v>
      </c>
      <c r="U544" s="311">
        <f t="shared" ca="1" si="234"/>
        <v>0</v>
      </c>
      <c r="V544" s="306">
        <f t="shared" ca="1" si="235"/>
        <v>1.2254732138846585</v>
      </c>
      <c r="W544" s="304">
        <f t="shared" ca="1" si="236"/>
        <v>3.54756815604765</v>
      </c>
      <c r="Y544" s="314" t="str">
        <f t="shared" ca="1" si="254"/>
        <v/>
      </c>
      <c r="Z544" s="315" t="str">
        <f t="shared" ca="1" si="255"/>
        <v/>
      </c>
      <c r="AA544" s="316" t="str">
        <f t="shared" ca="1" si="256"/>
        <v/>
      </c>
      <c r="AC544" s="310" t="e">
        <f t="shared" ca="1" si="257"/>
        <v>#N/A</v>
      </c>
      <c r="AD544" s="323" t="e">
        <f t="shared" ca="1" si="258"/>
        <v>#N/A</v>
      </c>
      <c r="AE544" s="324" t="e">
        <f t="shared" ca="1" si="237"/>
        <v>#N/A</v>
      </c>
      <c r="AG544" s="306">
        <f t="shared" ca="1" si="259"/>
        <v>1.4767921761799698</v>
      </c>
      <c r="AH544" s="304">
        <f t="shared" ca="1" si="260"/>
        <v>-8.3080709031419708</v>
      </c>
    </row>
    <row r="545" spans="1:34" x14ac:dyDescent="0.3">
      <c r="A545" s="347">
        <f t="shared" ca="1" si="238"/>
        <v>1E-4</v>
      </c>
      <c r="B545" s="304">
        <f t="shared" ca="1" si="239"/>
        <v>16.119999999999916</v>
      </c>
      <c r="D545" s="306">
        <f t="shared" ca="1" si="240"/>
        <v>-0.59436454657263826</v>
      </c>
      <c r="E545" s="307">
        <f t="shared" ca="1" si="241"/>
        <v>-1.523165600352641</v>
      </c>
      <c r="F545" s="304">
        <f t="shared" ca="1" si="242"/>
        <v>1.6350237491608859</v>
      </c>
      <c r="G545" s="306">
        <f t="shared" ca="1" si="243"/>
        <v>3.742455048917948</v>
      </c>
      <c r="H545" s="307">
        <f t="shared" ca="1" si="244"/>
        <v>-52.179573107053045</v>
      </c>
      <c r="I545" s="304">
        <f t="shared" ca="1" si="245"/>
        <v>52.31361026948403</v>
      </c>
      <c r="J545" s="306">
        <f t="shared" ca="1" si="246"/>
        <v>150.09587023194715</v>
      </c>
      <c r="K545" s="307">
        <f t="shared" ca="1" si="247"/>
        <v>-3.8674424537390171</v>
      </c>
      <c r="L545" s="304">
        <f t="shared" ca="1" si="232"/>
        <v>150.14568715690271</v>
      </c>
      <c r="M545" s="306">
        <f t="shared" ca="1" si="248"/>
        <v>-1.4991963244863478</v>
      </c>
      <c r="N545" s="304">
        <f t="shared" ca="1" si="249"/>
        <v>-85.897622054593199</v>
      </c>
      <c r="P545" s="310">
        <f t="shared" ca="1" si="250"/>
        <v>23</v>
      </c>
      <c r="Q545" s="304">
        <f t="shared" ca="1" si="251"/>
        <v>0</v>
      </c>
      <c r="R545" s="306">
        <f t="shared" ca="1" si="252"/>
        <v>0</v>
      </c>
      <c r="S545" s="307">
        <f t="shared" ca="1" si="253"/>
        <v>0.4270000000000001</v>
      </c>
      <c r="T545" s="304">
        <f t="shared" ca="1" si="233"/>
        <v>4.1888700000000014</v>
      </c>
      <c r="U545" s="311">
        <f t="shared" ca="1" si="234"/>
        <v>0</v>
      </c>
      <c r="V545" s="306">
        <f t="shared" ca="1" si="235"/>
        <v>1.2254738533306073</v>
      </c>
      <c r="W545" s="304">
        <f t="shared" ca="1" si="236"/>
        <v>3.5475900358552774</v>
      </c>
      <c r="Y545" s="314" t="str">
        <f t="shared" ca="1" si="254"/>
        <v/>
      </c>
      <c r="Z545" s="315" t="str">
        <f t="shared" ca="1" si="255"/>
        <v/>
      </c>
      <c r="AA545" s="316" t="str">
        <f t="shared" ca="1" si="256"/>
        <v/>
      </c>
      <c r="AC545" s="310" t="e">
        <f t="shared" ca="1" si="257"/>
        <v>#N/A</v>
      </c>
      <c r="AD545" s="323" t="e">
        <f t="shared" ca="1" si="258"/>
        <v>#N/A</v>
      </c>
      <c r="AE545" s="324" t="e">
        <f t="shared" ca="1" si="237"/>
        <v>#N/A</v>
      </c>
      <c r="AG545" s="306">
        <f t="shared" ca="1" si="259"/>
        <v>1.4767418755469617</v>
      </c>
      <c r="AH545" s="304">
        <f t="shared" ca="1" si="260"/>
        <v>-8.3081221453106533</v>
      </c>
    </row>
    <row r="546" spans="1:34" x14ac:dyDescent="0.3">
      <c r="A546" s="347">
        <f t="shared" ca="1" si="238"/>
        <v>1E-4</v>
      </c>
      <c r="B546" s="304">
        <f t="shared" ca="1" si="239"/>
        <v>16.120099999999915</v>
      </c>
      <c r="D546" s="306">
        <f t="shared" ca="1" si="240"/>
        <v>-0.59435709513916757</v>
      </c>
      <c r="E546" s="307">
        <f t="shared" ca="1" si="241"/>
        <v>-1.5231136935160414</v>
      </c>
      <c r="F546" s="304">
        <f t="shared" ca="1" si="242"/>
        <v>1.6349726847621484</v>
      </c>
      <c r="G546" s="306">
        <f t="shared" ca="1" si="243"/>
        <v>3.7423956132084339</v>
      </c>
      <c r="H546" s="307">
        <f t="shared" ca="1" si="244"/>
        <v>-52.1797254184224</v>
      </c>
      <c r="I546" s="304">
        <f t="shared" ca="1" si="245"/>
        <v>52.313757938688731</v>
      </c>
      <c r="J546" s="306">
        <f t="shared" ca="1" si="246"/>
        <v>150.09587023194715</v>
      </c>
      <c r="K546" s="307">
        <f t="shared" ca="1" si="247"/>
        <v>-3.8726604186652906</v>
      </c>
      <c r="L546" s="304">
        <f t="shared" ca="1" si="232"/>
        <v>150.14582165149923</v>
      </c>
      <c r="M546" s="306">
        <f t="shared" ca="1" si="248"/>
        <v>-1.4991976659996669</v>
      </c>
      <c r="N546" s="304">
        <f t="shared" ca="1" si="249"/>
        <v>-85.897698917644547</v>
      </c>
      <c r="P546" s="310">
        <f t="shared" ca="1" si="250"/>
        <v>23</v>
      </c>
      <c r="Q546" s="304">
        <f t="shared" ca="1" si="251"/>
        <v>0</v>
      </c>
      <c r="R546" s="306">
        <f t="shared" ca="1" si="252"/>
        <v>0</v>
      </c>
      <c r="S546" s="307">
        <f t="shared" ca="1" si="253"/>
        <v>0.4270000000000001</v>
      </c>
      <c r="T546" s="304">
        <f t="shared" ca="1" si="233"/>
        <v>4.1888700000000014</v>
      </c>
      <c r="U546" s="311">
        <f t="shared" ca="1" si="234"/>
        <v>0</v>
      </c>
      <c r="V546" s="306">
        <f t="shared" ca="1" si="235"/>
        <v>1.2254744927787569</v>
      </c>
      <c r="W546" s="304">
        <f t="shared" ca="1" si="236"/>
        <v>3.5476119150645142</v>
      </c>
      <c r="Y546" s="314" t="str">
        <f t="shared" ca="1" si="254"/>
        <v/>
      </c>
      <c r="Z546" s="315" t="str">
        <f t="shared" ca="1" si="255"/>
        <v/>
      </c>
      <c r="AA546" s="316" t="str">
        <f t="shared" ca="1" si="256"/>
        <v/>
      </c>
      <c r="AC546" s="310" t="e">
        <f t="shared" ca="1" si="257"/>
        <v>#N/A</v>
      </c>
      <c r="AD546" s="323" t="e">
        <f t="shared" ca="1" si="258"/>
        <v>#N/A</v>
      </c>
      <c r="AE546" s="324" t="e">
        <f t="shared" ca="1" si="237"/>
        <v>#N/A</v>
      </c>
      <c r="AG546" s="306">
        <f t="shared" ca="1" si="259"/>
        <v>1.4766915762774815</v>
      </c>
      <c r="AH546" s="304">
        <f t="shared" ca="1" si="260"/>
        <v>-8.3081733860779305</v>
      </c>
    </row>
    <row r="547" spans="1:34" x14ac:dyDescent="0.3">
      <c r="A547" s="347">
        <f t="shared" ca="1" si="238"/>
        <v>1E-4</v>
      </c>
      <c r="B547" s="304">
        <f t="shared" ca="1" si="239"/>
        <v>16.120199999999915</v>
      </c>
      <c r="D547" s="306">
        <f t="shared" ca="1" si="240"/>
        <v>-0.59434964370656806</v>
      </c>
      <c r="E547" s="307">
        <f t="shared" ca="1" si="241"/>
        <v>-1.5230617880994757</v>
      </c>
      <c r="F547" s="304">
        <f t="shared" ca="1" si="242"/>
        <v>1.6349216217736238</v>
      </c>
      <c r="G547" s="306">
        <f t="shared" ca="1" si="243"/>
        <v>3.7423361782440634</v>
      </c>
      <c r="H547" s="307">
        <f t="shared" ca="1" si="244"/>
        <v>-52.179877724601212</v>
      </c>
      <c r="I547" s="304">
        <f t="shared" ca="1" si="245"/>
        <v>52.313905602863642</v>
      </c>
      <c r="J547" s="306">
        <f t="shared" ca="1" si="246"/>
        <v>150.09587023194715</v>
      </c>
      <c r="K547" s="307">
        <f t="shared" ca="1" si="247"/>
        <v>-3.8778783988224417</v>
      </c>
      <c r="L547" s="304">
        <f t="shared" ca="1" si="232"/>
        <v>150.14595632770659</v>
      </c>
      <c r="M547" s="306">
        <f t="shared" ca="1" si="248"/>
        <v>-1.4991990074841077</v>
      </c>
      <c r="N547" s="304">
        <f t="shared" ca="1" si="249"/>
        <v>-85.897775779041297</v>
      </c>
      <c r="P547" s="310">
        <f t="shared" ca="1" si="250"/>
        <v>23</v>
      </c>
      <c r="Q547" s="304">
        <f t="shared" ca="1" si="251"/>
        <v>0</v>
      </c>
      <c r="R547" s="306">
        <f t="shared" ca="1" si="252"/>
        <v>0</v>
      </c>
      <c r="S547" s="307">
        <f t="shared" ca="1" si="253"/>
        <v>0.4270000000000001</v>
      </c>
      <c r="T547" s="304">
        <f t="shared" ca="1" si="233"/>
        <v>4.1888700000000014</v>
      </c>
      <c r="U547" s="311">
        <f t="shared" ca="1" si="234"/>
        <v>0</v>
      </c>
      <c r="V547" s="306">
        <f t="shared" ca="1" si="235"/>
        <v>1.2254751322291064</v>
      </c>
      <c r="W547" s="304">
        <f t="shared" ca="1" si="236"/>
        <v>3.5476337936753719</v>
      </c>
      <c r="Y547" s="314" t="str">
        <f t="shared" ca="1" si="254"/>
        <v/>
      </c>
      <c r="Z547" s="315" t="str">
        <f t="shared" ca="1" si="255"/>
        <v/>
      </c>
      <c r="AA547" s="316" t="str">
        <f t="shared" ca="1" si="256"/>
        <v/>
      </c>
      <c r="AC547" s="310" t="e">
        <f t="shared" ca="1" si="257"/>
        <v>#N/A</v>
      </c>
      <c r="AD547" s="323" t="e">
        <f t="shared" ca="1" si="258"/>
        <v>#N/A</v>
      </c>
      <c r="AE547" s="324" t="e">
        <f t="shared" ca="1" si="237"/>
        <v>#N/A</v>
      </c>
      <c r="AG547" s="306">
        <f t="shared" ca="1" si="259"/>
        <v>1.4766412783715026</v>
      </c>
      <c r="AH547" s="304">
        <f t="shared" ca="1" si="260"/>
        <v>-8.3082246254438257</v>
      </c>
    </row>
    <row r="548" spans="1:34" x14ac:dyDescent="0.3">
      <c r="A548" s="347">
        <f t="shared" ca="1" si="238"/>
        <v>1E-4</v>
      </c>
      <c r="B548" s="304">
        <f t="shared" ca="1" si="239"/>
        <v>16.120299999999915</v>
      </c>
      <c r="D548" s="306">
        <f t="shared" ca="1" si="240"/>
        <v>-0.59434219227484031</v>
      </c>
      <c r="E548" s="307">
        <f t="shared" ca="1" si="241"/>
        <v>-1.5230098841029189</v>
      </c>
      <c r="F548" s="304">
        <f t="shared" ca="1" si="242"/>
        <v>1.6348705601952864</v>
      </c>
      <c r="G548" s="306">
        <f t="shared" ca="1" si="243"/>
        <v>3.7422767440248359</v>
      </c>
      <c r="H548" s="307">
        <f t="shared" ca="1" si="244"/>
        <v>-52.180030025589623</v>
      </c>
      <c r="I548" s="304">
        <f t="shared" ca="1" si="245"/>
        <v>52.314053262008898</v>
      </c>
      <c r="J548" s="306">
        <f t="shared" ca="1" si="246"/>
        <v>150.09587023194715</v>
      </c>
      <c r="K548" s="307">
        <f t="shared" ca="1" si="247"/>
        <v>-3.883096394209951</v>
      </c>
      <c r="L548" s="304">
        <f t="shared" ca="1" si="232"/>
        <v>150.14609118552585</v>
      </c>
      <c r="M548" s="306">
        <f t="shared" ca="1" si="248"/>
        <v>-1.4992003489396708</v>
      </c>
      <c r="N548" s="304">
        <f t="shared" ca="1" si="249"/>
        <v>-85.897852638783462</v>
      </c>
      <c r="P548" s="310">
        <f t="shared" ca="1" si="250"/>
        <v>23</v>
      </c>
      <c r="Q548" s="304">
        <f t="shared" ca="1" si="251"/>
        <v>0</v>
      </c>
      <c r="R548" s="306">
        <f t="shared" ca="1" si="252"/>
        <v>0</v>
      </c>
      <c r="S548" s="307">
        <f t="shared" ca="1" si="253"/>
        <v>0.4270000000000001</v>
      </c>
      <c r="T548" s="304">
        <f t="shared" ca="1" si="233"/>
        <v>4.1888700000000014</v>
      </c>
      <c r="U548" s="311">
        <f t="shared" ca="1" si="234"/>
        <v>0</v>
      </c>
      <c r="V548" s="306">
        <f t="shared" ca="1" si="235"/>
        <v>1.2254757716816558</v>
      </c>
      <c r="W548" s="304">
        <f t="shared" ca="1" si="236"/>
        <v>3.547655671687862</v>
      </c>
      <c r="Y548" s="314" t="str">
        <f t="shared" ca="1" si="254"/>
        <v/>
      </c>
      <c r="Z548" s="315" t="str">
        <f t="shared" ca="1" si="255"/>
        <v/>
      </c>
      <c r="AA548" s="316" t="str">
        <f t="shared" ca="1" si="256"/>
        <v/>
      </c>
      <c r="AC548" s="310" t="e">
        <f t="shared" ca="1" si="257"/>
        <v>#N/A</v>
      </c>
      <c r="AD548" s="323" t="e">
        <f t="shared" ca="1" si="258"/>
        <v>#N/A</v>
      </c>
      <c r="AE548" s="324" t="e">
        <f t="shared" ca="1" si="237"/>
        <v>#N/A</v>
      </c>
      <c r="AG548" s="306">
        <f t="shared" ca="1" si="259"/>
        <v>1.4765909818290055</v>
      </c>
      <c r="AH548" s="304">
        <f t="shared" ca="1" si="260"/>
        <v>-8.3082758634083635</v>
      </c>
    </row>
    <row r="549" spans="1:34" x14ac:dyDescent="0.3">
      <c r="A549" s="347">
        <f t="shared" ca="1" si="238"/>
        <v>1E-4</v>
      </c>
      <c r="B549" s="304">
        <f t="shared" ca="1" si="239"/>
        <v>16.120399999999915</v>
      </c>
      <c r="D549" s="306">
        <f t="shared" ca="1" si="240"/>
        <v>-0.59433474084399307</v>
      </c>
      <c r="E549" s="307">
        <f t="shared" ca="1" si="241"/>
        <v>-1.5229579815263445</v>
      </c>
      <c r="F549" s="304">
        <f t="shared" ca="1" si="242"/>
        <v>1.6348195000271113</v>
      </c>
      <c r="G549" s="306">
        <f t="shared" ca="1" si="243"/>
        <v>3.7422173105507515</v>
      </c>
      <c r="H549" s="307">
        <f t="shared" ca="1" si="244"/>
        <v>-52.180182321387775</v>
      </c>
      <c r="I549" s="304">
        <f t="shared" ca="1" si="245"/>
        <v>52.314200916124626</v>
      </c>
      <c r="J549" s="306">
        <f t="shared" ca="1" si="246"/>
        <v>150.09587023194715</v>
      </c>
      <c r="K549" s="307">
        <f t="shared" ca="1" si="247"/>
        <v>-3.8883144048273</v>
      </c>
      <c r="L549" s="304">
        <f t="shared" ca="1" si="232"/>
        <v>150.14622622495813</v>
      </c>
      <c r="M549" s="306">
        <f t="shared" ca="1" si="248"/>
        <v>-1.499201690366357</v>
      </c>
      <c r="N549" s="304">
        <f t="shared" ca="1" si="249"/>
        <v>-85.8979294968711</v>
      </c>
      <c r="P549" s="310">
        <f t="shared" ca="1" si="250"/>
        <v>23</v>
      </c>
      <c r="Q549" s="304">
        <f t="shared" ca="1" si="251"/>
        <v>0</v>
      </c>
      <c r="R549" s="306">
        <f t="shared" ca="1" si="252"/>
        <v>0</v>
      </c>
      <c r="S549" s="307">
        <f t="shared" ca="1" si="253"/>
        <v>0.4270000000000001</v>
      </c>
      <c r="T549" s="304">
        <f t="shared" ca="1" si="233"/>
        <v>4.1888700000000014</v>
      </c>
      <c r="U549" s="311">
        <f t="shared" ca="1" si="234"/>
        <v>0</v>
      </c>
      <c r="V549" s="306">
        <f t="shared" ca="1" si="235"/>
        <v>1.2254764111364056</v>
      </c>
      <c r="W549" s="304">
        <f t="shared" ca="1" si="236"/>
        <v>3.5476775491019961</v>
      </c>
      <c r="Y549" s="314" t="str">
        <f t="shared" ca="1" si="254"/>
        <v/>
      </c>
      <c r="Z549" s="315" t="str">
        <f t="shared" ca="1" si="255"/>
        <v/>
      </c>
      <c r="AA549" s="316" t="str">
        <f t="shared" ca="1" si="256"/>
        <v/>
      </c>
      <c r="AC549" s="310" t="e">
        <f t="shared" ca="1" si="257"/>
        <v>#N/A</v>
      </c>
      <c r="AD549" s="323" t="e">
        <f t="shared" ca="1" si="258"/>
        <v>#N/A</v>
      </c>
      <c r="AE549" s="324" t="e">
        <f t="shared" ca="1" si="237"/>
        <v>#N/A</v>
      </c>
      <c r="AG549" s="306">
        <f t="shared" ca="1" si="259"/>
        <v>1.4765406866499653</v>
      </c>
      <c r="AH549" s="304">
        <f t="shared" ca="1" si="260"/>
        <v>-8.3083270999715726</v>
      </c>
    </row>
    <row r="550" spans="1:34" x14ac:dyDescent="0.3">
      <c r="A550" s="347">
        <f t="shared" ca="1" si="238"/>
        <v>1E-4</v>
      </c>
      <c r="B550" s="304">
        <f t="shared" ca="1" si="239"/>
        <v>16.120499999999915</v>
      </c>
      <c r="D550" s="306">
        <f t="shared" ca="1" si="240"/>
        <v>-0.59432728941403079</v>
      </c>
      <c r="E550" s="307">
        <f t="shared" ca="1" si="241"/>
        <v>-1.5229060803697223</v>
      </c>
      <c r="F550" s="304">
        <f t="shared" ca="1" si="242"/>
        <v>1.6347684412690686</v>
      </c>
      <c r="G550" s="306">
        <f t="shared" ca="1" si="243"/>
        <v>3.7421578778218101</v>
      </c>
      <c r="H550" s="307">
        <f t="shared" ca="1" si="244"/>
        <v>-52.180334611995811</v>
      </c>
      <c r="I550" s="304">
        <f t="shared" ca="1" si="245"/>
        <v>52.314348565210977</v>
      </c>
      <c r="J550" s="306">
        <f t="shared" ca="1" si="246"/>
        <v>150.09587023194715</v>
      </c>
      <c r="K550" s="307">
        <f t="shared" ca="1" si="247"/>
        <v>-3.8935324306739689</v>
      </c>
      <c r="L550" s="304">
        <f t="shared" ca="1" si="232"/>
        <v>150.14636144600451</v>
      </c>
      <c r="M550" s="306">
        <f t="shared" ca="1" si="248"/>
        <v>-1.4992030317641674</v>
      </c>
      <c r="N550" s="304">
        <f t="shared" ca="1" si="249"/>
        <v>-85.898006353304282</v>
      </c>
      <c r="P550" s="310">
        <f t="shared" ca="1" si="250"/>
        <v>23</v>
      </c>
      <c r="Q550" s="304">
        <f t="shared" ca="1" si="251"/>
        <v>0</v>
      </c>
      <c r="R550" s="306">
        <f t="shared" ca="1" si="252"/>
        <v>0</v>
      </c>
      <c r="S550" s="307">
        <f t="shared" ca="1" si="253"/>
        <v>0.4270000000000001</v>
      </c>
      <c r="T550" s="304">
        <f t="shared" ca="1" si="233"/>
        <v>4.1888700000000014</v>
      </c>
      <c r="U550" s="311">
        <f t="shared" ca="1" si="234"/>
        <v>0</v>
      </c>
      <c r="V550" s="306">
        <f t="shared" ca="1" si="235"/>
        <v>1.2254770505933554</v>
      </c>
      <c r="W550" s="304">
        <f t="shared" ca="1" si="236"/>
        <v>3.5476994259177865</v>
      </c>
      <c r="Y550" s="314" t="str">
        <f t="shared" ca="1" si="254"/>
        <v/>
      </c>
      <c r="Z550" s="315" t="str">
        <f t="shared" ca="1" si="255"/>
        <v/>
      </c>
      <c r="AA550" s="316" t="str">
        <f t="shared" ca="1" si="256"/>
        <v/>
      </c>
      <c r="AC550" s="310" t="e">
        <f t="shared" ca="1" si="257"/>
        <v>#N/A</v>
      </c>
      <c r="AD550" s="323" t="e">
        <f t="shared" ca="1" si="258"/>
        <v>#N/A</v>
      </c>
      <c r="AE550" s="324" t="e">
        <f t="shared" ca="1" si="237"/>
        <v>#N/A</v>
      </c>
      <c r="AG550" s="306">
        <f t="shared" ca="1" si="259"/>
        <v>1.4764903928343571</v>
      </c>
      <c r="AH550" s="304">
        <f t="shared" ca="1" si="260"/>
        <v>-8.3083783351334777</v>
      </c>
    </row>
    <row r="551" spans="1:34" x14ac:dyDescent="0.3">
      <c r="A551" s="347">
        <f t="shared" ca="1" si="238"/>
        <v>1E-4</v>
      </c>
      <c r="B551" s="304">
        <f t="shared" ca="1" si="239"/>
        <v>16.120599999999914</v>
      </c>
      <c r="D551" s="306">
        <f t="shared" ca="1" si="240"/>
        <v>-0.59431983798495669</v>
      </c>
      <c r="E551" s="307">
        <f t="shared" ca="1" si="241"/>
        <v>-1.5228541806330238</v>
      </c>
      <c r="F551" s="304">
        <f t="shared" ca="1" si="242"/>
        <v>1.6347173839211302</v>
      </c>
      <c r="G551" s="306">
        <f t="shared" ca="1" si="243"/>
        <v>3.7420984458380118</v>
      </c>
      <c r="H551" s="307">
        <f t="shared" ca="1" si="244"/>
        <v>-52.180486897413871</v>
      </c>
      <c r="I551" s="304">
        <f t="shared" ca="1" si="245"/>
        <v>52.314496209268079</v>
      </c>
      <c r="J551" s="306">
        <f t="shared" ca="1" si="246"/>
        <v>150.09587023194715</v>
      </c>
      <c r="K551" s="307">
        <f t="shared" ca="1" si="247"/>
        <v>-3.8987504717494392</v>
      </c>
      <c r="L551" s="304">
        <f t="shared" ca="1" si="232"/>
        <v>150.14649684866603</v>
      </c>
      <c r="M551" s="306">
        <f t="shared" ca="1" si="248"/>
        <v>-1.4992043731331024</v>
      </c>
      <c r="N551" s="304">
        <f t="shared" ca="1" si="249"/>
        <v>-85.898083208083037</v>
      </c>
      <c r="P551" s="310">
        <f t="shared" ca="1" si="250"/>
        <v>23</v>
      </c>
      <c r="Q551" s="304">
        <f t="shared" ca="1" si="251"/>
        <v>0</v>
      </c>
      <c r="R551" s="306">
        <f t="shared" ca="1" si="252"/>
        <v>0</v>
      </c>
      <c r="S551" s="307">
        <f t="shared" ca="1" si="253"/>
        <v>0.4270000000000001</v>
      </c>
      <c r="T551" s="304">
        <f t="shared" ca="1" si="233"/>
        <v>4.1888700000000014</v>
      </c>
      <c r="U551" s="311">
        <f t="shared" ca="1" si="234"/>
        <v>0</v>
      </c>
      <c r="V551" s="306">
        <f t="shared" ca="1" si="235"/>
        <v>1.2254776900525051</v>
      </c>
      <c r="W551" s="304">
        <f t="shared" ca="1" si="236"/>
        <v>3.5477213021352432</v>
      </c>
      <c r="Y551" s="314" t="str">
        <f t="shared" ca="1" si="254"/>
        <v/>
      </c>
      <c r="Z551" s="315" t="str">
        <f t="shared" ca="1" si="255"/>
        <v/>
      </c>
      <c r="AA551" s="316" t="str">
        <f t="shared" ca="1" si="256"/>
        <v/>
      </c>
      <c r="AC551" s="310" t="e">
        <f t="shared" ca="1" si="257"/>
        <v>#N/A</v>
      </c>
      <c r="AD551" s="323" t="e">
        <f t="shared" ca="1" si="258"/>
        <v>#N/A</v>
      </c>
      <c r="AE551" s="324" t="e">
        <f t="shared" ca="1" si="237"/>
        <v>#N/A</v>
      </c>
      <c r="AG551" s="306">
        <f t="shared" ca="1" si="259"/>
        <v>1.476440100382149</v>
      </c>
      <c r="AH551" s="304">
        <f t="shared" ca="1" si="260"/>
        <v>-8.3084295688941125</v>
      </c>
    </row>
    <row r="552" spans="1:34" x14ac:dyDescent="0.3">
      <c r="A552" s="347">
        <f t="shared" ca="1" si="238"/>
        <v>1E-4</v>
      </c>
      <c r="B552" s="304">
        <f t="shared" ca="1" si="239"/>
        <v>16.120699999999914</v>
      </c>
      <c r="D552" s="306">
        <f t="shared" ca="1" si="240"/>
        <v>-0.59431238655677865</v>
      </c>
      <c r="E552" s="307">
        <f t="shared" ca="1" si="241"/>
        <v>-1.5228022823162295</v>
      </c>
      <c r="F552" s="304">
        <f t="shared" ca="1" si="242"/>
        <v>1.6346663279832774</v>
      </c>
      <c r="G552" s="306">
        <f t="shared" ca="1" si="243"/>
        <v>3.7420390145993561</v>
      </c>
      <c r="H552" s="307">
        <f t="shared" ca="1" si="244"/>
        <v>-52.180639177642099</v>
      </c>
      <c r="I552" s="304">
        <f t="shared" ca="1" si="245"/>
        <v>52.314643848296065</v>
      </c>
      <c r="J552" s="306">
        <f t="shared" ca="1" si="246"/>
        <v>150.09587023194715</v>
      </c>
      <c r="K552" s="307">
        <f t="shared" ca="1" si="247"/>
        <v>-3.9039685280531922</v>
      </c>
      <c r="L552" s="304">
        <f t="shared" ca="1" si="232"/>
        <v>150.14663243294385</v>
      </c>
      <c r="M552" s="306">
        <f t="shared" ca="1" si="248"/>
        <v>-1.4992057144731632</v>
      </c>
      <c r="N552" s="304">
        <f t="shared" ca="1" si="249"/>
        <v>-85.898160061207406</v>
      </c>
      <c r="P552" s="310">
        <f t="shared" ca="1" si="250"/>
        <v>23</v>
      </c>
      <c r="Q552" s="304">
        <f t="shared" ca="1" si="251"/>
        <v>0</v>
      </c>
      <c r="R552" s="306">
        <f t="shared" ca="1" si="252"/>
        <v>0</v>
      </c>
      <c r="S552" s="307">
        <f t="shared" ca="1" si="253"/>
        <v>0.4270000000000001</v>
      </c>
      <c r="T552" s="304">
        <f t="shared" ca="1" si="233"/>
        <v>4.1888700000000014</v>
      </c>
      <c r="U552" s="311">
        <f t="shared" ca="1" si="234"/>
        <v>0</v>
      </c>
      <c r="V552" s="306">
        <f t="shared" ca="1" si="235"/>
        <v>1.2254783295138552</v>
      </c>
      <c r="W552" s="304">
        <f t="shared" ca="1" si="236"/>
        <v>3.5477431777543811</v>
      </c>
      <c r="Y552" s="314" t="str">
        <f t="shared" ca="1" si="254"/>
        <v/>
      </c>
      <c r="Z552" s="315" t="str">
        <f t="shared" ca="1" si="255"/>
        <v/>
      </c>
      <c r="AA552" s="316" t="str">
        <f t="shared" ca="1" si="256"/>
        <v/>
      </c>
      <c r="AC552" s="310" t="e">
        <f t="shared" ca="1" si="257"/>
        <v>#N/A</v>
      </c>
      <c r="AD552" s="323" t="e">
        <f t="shared" ca="1" si="258"/>
        <v>#N/A</v>
      </c>
      <c r="AE552" s="324" t="e">
        <f t="shared" ca="1" si="237"/>
        <v>#N/A</v>
      </c>
      <c r="AG552" s="306">
        <f t="shared" ca="1" si="259"/>
        <v>1.4763898092933232</v>
      </c>
      <c r="AH552" s="304">
        <f t="shared" ca="1" si="260"/>
        <v>-8.308480801253495</v>
      </c>
    </row>
    <row r="553" spans="1:34" x14ac:dyDescent="0.3">
      <c r="A553" s="347">
        <f t="shared" ca="1" si="238"/>
        <v>1E-4</v>
      </c>
      <c r="B553" s="304">
        <f t="shared" ca="1" si="239"/>
        <v>16.120799999999914</v>
      </c>
      <c r="D553" s="306">
        <f t="shared" ca="1" si="240"/>
        <v>-0.59430493512950022</v>
      </c>
      <c r="E553" s="307">
        <f t="shared" ca="1" si="241"/>
        <v>-1.5227503854192967</v>
      </c>
      <c r="F553" s="304">
        <f t="shared" ca="1" si="242"/>
        <v>1.6346152734554684</v>
      </c>
      <c r="G553" s="306">
        <f t="shared" ca="1" si="243"/>
        <v>3.741979584105843</v>
      </c>
      <c r="H553" s="307">
        <f t="shared" ca="1" si="244"/>
        <v>-52.180791452680644</v>
      </c>
      <c r="I553" s="304">
        <f t="shared" ca="1" si="245"/>
        <v>52.314791482295085</v>
      </c>
      <c r="J553" s="306">
        <f t="shared" ca="1" si="246"/>
        <v>150.09587023194715</v>
      </c>
      <c r="K553" s="307">
        <f t="shared" ca="1" si="247"/>
        <v>-3.9091865995847082</v>
      </c>
      <c r="L553" s="304">
        <f t="shared" ca="1" si="232"/>
        <v>150.146768198839</v>
      </c>
      <c r="M553" s="306">
        <f t="shared" ca="1" si="248"/>
        <v>-1.4992070557843504</v>
      </c>
      <c r="N553" s="304">
        <f t="shared" ca="1" si="249"/>
        <v>-85.898236912677447</v>
      </c>
      <c r="P553" s="310">
        <f t="shared" ca="1" si="250"/>
        <v>23</v>
      </c>
      <c r="Q553" s="304">
        <f t="shared" ca="1" si="251"/>
        <v>0</v>
      </c>
      <c r="R553" s="306">
        <f t="shared" ca="1" si="252"/>
        <v>0</v>
      </c>
      <c r="S553" s="307">
        <f t="shared" ca="1" si="253"/>
        <v>0.4270000000000001</v>
      </c>
      <c r="T553" s="304">
        <f t="shared" ca="1" si="233"/>
        <v>4.1888700000000014</v>
      </c>
      <c r="U553" s="311">
        <f t="shared" ca="1" si="234"/>
        <v>0</v>
      </c>
      <c r="V553" s="306">
        <f t="shared" ca="1" si="235"/>
        <v>1.2254789689774046</v>
      </c>
      <c r="W553" s="304">
        <f t="shared" ca="1" si="236"/>
        <v>3.5477650527752091</v>
      </c>
      <c r="Y553" s="314" t="str">
        <f t="shared" ca="1" si="254"/>
        <v/>
      </c>
      <c r="Z553" s="315" t="str">
        <f t="shared" ca="1" si="255"/>
        <v/>
      </c>
      <c r="AA553" s="316" t="str">
        <f t="shared" ca="1" si="256"/>
        <v/>
      </c>
      <c r="AC553" s="310" t="e">
        <f t="shared" ca="1" si="257"/>
        <v>#N/A</v>
      </c>
      <c r="AD553" s="323" t="e">
        <f t="shared" ca="1" si="258"/>
        <v>#N/A</v>
      </c>
      <c r="AE553" s="324" t="e">
        <f t="shared" ca="1" si="237"/>
        <v>#N/A</v>
      </c>
      <c r="AG553" s="306">
        <f t="shared" ca="1" si="259"/>
        <v>1.4763395195678459</v>
      </c>
      <c r="AH553" s="304">
        <f t="shared" ca="1" si="260"/>
        <v>-8.308532032211664</v>
      </c>
    </row>
    <row r="554" spans="1:34" x14ac:dyDescent="0.3">
      <c r="A554" s="347">
        <f t="shared" ca="1" si="238"/>
        <v>1E-4</v>
      </c>
      <c r="B554" s="304">
        <f t="shared" ca="1" si="239"/>
        <v>16.120899999999914</v>
      </c>
      <c r="D554" s="306">
        <f t="shared" ca="1" si="240"/>
        <v>-0.59429748370312752</v>
      </c>
      <c r="E554" s="307">
        <f t="shared" ca="1" si="241"/>
        <v>-1.5226984899422131</v>
      </c>
      <c r="F554" s="304">
        <f t="shared" ca="1" si="242"/>
        <v>1.6345642203376916</v>
      </c>
      <c r="G554" s="306">
        <f t="shared" ca="1" si="243"/>
        <v>3.7419201543574725</v>
      </c>
      <c r="H554" s="307">
        <f t="shared" ca="1" si="244"/>
        <v>-52.180943722529641</v>
      </c>
      <c r="I554" s="304">
        <f t="shared" ca="1" si="245"/>
        <v>52.314939111265268</v>
      </c>
      <c r="J554" s="306">
        <f t="shared" ca="1" si="246"/>
        <v>150.09587023194715</v>
      </c>
      <c r="K554" s="307">
        <f t="shared" ca="1" si="247"/>
        <v>-3.9144046863434685</v>
      </c>
      <c r="L554" s="304">
        <f t="shared" ca="1" si="232"/>
        <v>150.14690414635257</v>
      </c>
      <c r="M554" s="306">
        <f t="shared" ca="1" si="248"/>
        <v>-1.499208397066665</v>
      </c>
      <c r="N554" s="304">
        <f t="shared" ca="1" si="249"/>
        <v>-85.898313762493217</v>
      </c>
      <c r="P554" s="310">
        <f t="shared" ca="1" si="250"/>
        <v>23</v>
      </c>
      <c r="Q554" s="304">
        <f t="shared" ca="1" si="251"/>
        <v>0</v>
      </c>
      <c r="R554" s="306">
        <f t="shared" ca="1" si="252"/>
        <v>0</v>
      </c>
      <c r="S554" s="307">
        <f t="shared" ca="1" si="253"/>
        <v>0.4270000000000001</v>
      </c>
      <c r="T554" s="304">
        <f t="shared" ca="1" si="233"/>
        <v>4.1888700000000014</v>
      </c>
      <c r="U554" s="311">
        <f t="shared" ca="1" si="234"/>
        <v>0</v>
      </c>
      <c r="V554" s="306">
        <f t="shared" ca="1" si="235"/>
        <v>1.2254796084431541</v>
      </c>
      <c r="W554" s="304">
        <f t="shared" ca="1" si="236"/>
        <v>3.5477869271977398</v>
      </c>
      <c r="Y554" s="314" t="str">
        <f t="shared" ca="1" si="254"/>
        <v/>
      </c>
      <c r="Z554" s="315" t="str">
        <f t="shared" ca="1" si="255"/>
        <v/>
      </c>
      <c r="AA554" s="316" t="str">
        <f t="shared" ca="1" si="256"/>
        <v/>
      </c>
      <c r="AC554" s="310" t="e">
        <f t="shared" ca="1" si="257"/>
        <v>#N/A</v>
      </c>
      <c r="AD554" s="323" t="e">
        <f t="shared" ca="1" si="258"/>
        <v>#N/A</v>
      </c>
      <c r="AE554" s="324" t="e">
        <f t="shared" ca="1" si="237"/>
        <v>#N/A</v>
      </c>
      <c r="AG554" s="306">
        <f t="shared" ca="1" si="259"/>
        <v>1.4762892312056959</v>
      </c>
      <c r="AH554" s="304">
        <f t="shared" ca="1" si="260"/>
        <v>-8.3085832617686375</v>
      </c>
    </row>
    <row r="555" spans="1:34" x14ac:dyDescent="0.3">
      <c r="A555" s="347">
        <f t="shared" ca="1" si="238"/>
        <v>1E-4</v>
      </c>
      <c r="B555" s="304">
        <f t="shared" ca="1" si="239"/>
        <v>16.120999999999913</v>
      </c>
      <c r="D555" s="306">
        <f t="shared" ca="1" si="240"/>
        <v>-0.59429003227766541</v>
      </c>
      <c r="E555" s="307">
        <f t="shared" ca="1" si="241"/>
        <v>-1.5226465958849396</v>
      </c>
      <c r="F555" s="304">
        <f t="shared" ca="1" si="242"/>
        <v>1.6345131686299084</v>
      </c>
      <c r="G555" s="306">
        <f t="shared" ca="1" si="243"/>
        <v>3.7418607253542446</v>
      </c>
      <c r="H555" s="307">
        <f t="shared" ca="1" si="244"/>
        <v>-52.181095987189231</v>
      </c>
      <c r="I555" s="304">
        <f t="shared" ca="1" si="245"/>
        <v>52.315086735206748</v>
      </c>
      <c r="J555" s="306">
        <f t="shared" ca="1" si="246"/>
        <v>150.09587023194715</v>
      </c>
      <c r="K555" s="307">
        <f t="shared" ca="1" si="247"/>
        <v>-3.9196227883289545</v>
      </c>
      <c r="L555" s="304">
        <f t="shared" ca="1" si="232"/>
        <v>150.14704027548564</v>
      </c>
      <c r="M555" s="306">
        <f t="shared" ca="1" si="248"/>
        <v>-1.4992097383201077</v>
      </c>
      <c r="N555" s="304">
        <f t="shared" ca="1" si="249"/>
        <v>-85.898390610654744</v>
      </c>
      <c r="P555" s="310">
        <f t="shared" ca="1" si="250"/>
        <v>23</v>
      </c>
      <c r="Q555" s="304">
        <f t="shared" ca="1" si="251"/>
        <v>0</v>
      </c>
      <c r="R555" s="306">
        <f t="shared" ca="1" si="252"/>
        <v>0</v>
      </c>
      <c r="S555" s="307">
        <f t="shared" ca="1" si="253"/>
        <v>0.4270000000000001</v>
      </c>
      <c r="T555" s="304">
        <f t="shared" ca="1" si="233"/>
        <v>4.1888700000000014</v>
      </c>
      <c r="U555" s="311">
        <f t="shared" ca="1" si="234"/>
        <v>0</v>
      </c>
      <c r="V555" s="306">
        <f t="shared" ca="1" si="235"/>
        <v>1.2254802479111031</v>
      </c>
      <c r="W555" s="304">
        <f t="shared" ca="1" si="236"/>
        <v>3.547808801021985</v>
      </c>
      <c r="Y555" s="314" t="str">
        <f t="shared" ca="1" si="254"/>
        <v/>
      </c>
      <c r="Z555" s="315" t="str">
        <f t="shared" ca="1" si="255"/>
        <v/>
      </c>
      <c r="AA555" s="316" t="str">
        <f t="shared" ca="1" si="256"/>
        <v/>
      </c>
      <c r="AC555" s="310" t="e">
        <f t="shared" ca="1" si="257"/>
        <v>#N/A</v>
      </c>
      <c r="AD555" s="323" t="e">
        <f t="shared" ca="1" si="258"/>
        <v>#N/A</v>
      </c>
      <c r="AE555" s="324" t="e">
        <f t="shared" ca="1" si="237"/>
        <v>#N/A</v>
      </c>
      <c r="AG555" s="306">
        <f t="shared" ca="1" si="259"/>
        <v>1.4762389442068482</v>
      </c>
      <c r="AH555" s="304">
        <f t="shared" ca="1" si="260"/>
        <v>-8.3086344899244473</v>
      </c>
    </row>
    <row r="556" spans="1:34" x14ac:dyDescent="0.3">
      <c r="A556" s="347">
        <f t="shared" ca="1" si="238"/>
        <v>1E-4</v>
      </c>
      <c r="B556" s="304">
        <f t="shared" ca="1" si="239"/>
        <v>16.121099999999913</v>
      </c>
      <c r="D556" s="306">
        <f t="shared" ca="1" si="240"/>
        <v>-0.59428258085311847</v>
      </c>
      <c r="E556" s="307">
        <f t="shared" ca="1" si="241"/>
        <v>-1.5225947032474529</v>
      </c>
      <c r="F556" s="304">
        <f t="shared" ca="1" si="242"/>
        <v>1.634462118332096</v>
      </c>
      <c r="G556" s="306">
        <f t="shared" ca="1" si="243"/>
        <v>3.7418012970961594</v>
      </c>
      <c r="H556" s="307">
        <f t="shared" ca="1" si="244"/>
        <v>-52.181248246659557</v>
      </c>
      <c r="I556" s="304">
        <f t="shared" ca="1" si="245"/>
        <v>52.31523435411966</v>
      </c>
      <c r="J556" s="306">
        <f t="shared" ca="1" si="246"/>
        <v>150.09587023194715</v>
      </c>
      <c r="K556" s="307">
        <f t="shared" ca="1" si="247"/>
        <v>-3.924840905540647</v>
      </c>
      <c r="L556" s="304">
        <f t="shared" ca="1" si="232"/>
        <v>150.14717658623928</v>
      </c>
      <c r="M556" s="306">
        <f t="shared" ca="1" si="248"/>
        <v>-1.4992110795446796</v>
      </c>
      <c r="N556" s="304">
        <f t="shared" ca="1" si="249"/>
        <v>-85.898467457162084</v>
      </c>
      <c r="P556" s="310">
        <f t="shared" ca="1" si="250"/>
        <v>23</v>
      </c>
      <c r="Q556" s="304">
        <f t="shared" ca="1" si="251"/>
        <v>0</v>
      </c>
      <c r="R556" s="306">
        <f t="shared" ca="1" si="252"/>
        <v>0</v>
      </c>
      <c r="S556" s="307">
        <f t="shared" ca="1" si="253"/>
        <v>0.4270000000000001</v>
      </c>
      <c r="T556" s="304">
        <f t="shared" ca="1" si="233"/>
        <v>4.1888700000000014</v>
      </c>
      <c r="U556" s="311">
        <f t="shared" ca="1" si="234"/>
        <v>0</v>
      </c>
      <c r="V556" s="306">
        <f t="shared" ca="1" si="235"/>
        <v>1.2254808873812519</v>
      </c>
      <c r="W556" s="304">
        <f t="shared" ca="1" si="236"/>
        <v>3.5478306742479573</v>
      </c>
      <c r="Y556" s="314" t="str">
        <f t="shared" ca="1" si="254"/>
        <v/>
      </c>
      <c r="Z556" s="315" t="str">
        <f t="shared" ca="1" si="255"/>
        <v/>
      </c>
      <c r="AA556" s="316" t="str">
        <f t="shared" ca="1" si="256"/>
        <v/>
      </c>
      <c r="AC556" s="310" t="e">
        <f t="shared" ca="1" si="257"/>
        <v>#N/A</v>
      </c>
      <c r="AD556" s="323" t="e">
        <f t="shared" ca="1" si="258"/>
        <v>#N/A</v>
      </c>
      <c r="AE556" s="324" t="e">
        <f t="shared" ca="1" si="237"/>
        <v>#N/A</v>
      </c>
      <c r="AG556" s="306">
        <f t="shared" ca="1" si="259"/>
        <v>1.4761886585712745</v>
      </c>
      <c r="AH556" s="304">
        <f t="shared" ca="1" si="260"/>
        <v>-8.3086857166791201</v>
      </c>
    </row>
    <row r="557" spans="1:34" x14ac:dyDescent="0.3">
      <c r="A557" s="347">
        <f t="shared" ca="1" si="238"/>
        <v>1E-4</v>
      </c>
      <c r="B557" s="304">
        <f t="shared" ca="1" si="239"/>
        <v>16.121199999999913</v>
      </c>
      <c r="D557" s="306">
        <f t="shared" ca="1" si="240"/>
        <v>-0.59427512942949168</v>
      </c>
      <c r="E557" s="307">
        <f t="shared" ca="1" si="241"/>
        <v>-1.5225428120297249</v>
      </c>
      <c r="F557" s="304">
        <f t="shared" ca="1" si="242"/>
        <v>1.6344110694442266</v>
      </c>
      <c r="G557" s="306">
        <f t="shared" ca="1" si="243"/>
        <v>3.7417418695832163</v>
      </c>
      <c r="H557" s="307">
        <f t="shared" ca="1" si="244"/>
        <v>-52.181400500940761</v>
      </c>
      <c r="I557" s="304">
        <f t="shared" ca="1" si="245"/>
        <v>52.315381968004147</v>
      </c>
      <c r="J557" s="306">
        <f t="shared" ca="1" si="246"/>
        <v>150.09587023194715</v>
      </c>
      <c r="K557" s="307">
        <f t="shared" ca="1" si="247"/>
        <v>-3.9300590379780269</v>
      </c>
      <c r="L557" s="304">
        <f t="shared" ca="1" si="232"/>
        <v>150.14731307861459</v>
      </c>
      <c r="M557" s="306">
        <f t="shared" ca="1" si="248"/>
        <v>-1.499212420740381</v>
      </c>
      <c r="N557" s="304">
        <f t="shared" ca="1" si="249"/>
        <v>-85.898544302015281</v>
      </c>
      <c r="P557" s="310">
        <f t="shared" ca="1" si="250"/>
        <v>23</v>
      </c>
      <c r="Q557" s="304">
        <f t="shared" ca="1" si="251"/>
        <v>0</v>
      </c>
      <c r="R557" s="306">
        <f t="shared" ca="1" si="252"/>
        <v>0</v>
      </c>
      <c r="S557" s="307">
        <f t="shared" ca="1" si="253"/>
        <v>0.4270000000000001</v>
      </c>
      <c r="T557" s="304">
        <f t="shared" ca="1" si="233"/>
        <v>4.1888700000000014</v>
      </c>
      <c r="U557" s="311">
        <f t="shared" ca="1" si="234"/>
        <v>0</v>
      </c>
      <c r="V557" s="306">
        <f t="shared" ca="1" si="235"/>
        <v>1.2254815268536008</v>
      </c>
      <c r="W557" s="304">
        <f t="shared" ca="1" si="236"/>
        <v>3.5478525468756672</v>
      </c>
      <c r="Y557" s="314" t="str">
        <f t="shared" ca="1" si="254"/>
        <v/>
      </c>
      <c r="Z557" s="315" t="str">
        <f t="shared" ca="1" si="255"/>
        <v/>
      </c>
      <c r="AA557" s="316" t="str">
        <f t="shared" ca="1" si="256"/>
        <v/>
      </c>
      <c r="AC557" s="310" t="e">
        <f t="shared" ca="1" si="257"/>
        <v>#N/A</v>
      </c>
      <c r="AD557" s="323" t="e">
        <f t="shared" ca="1" si="258"/>
        <v>#N/A</v>
      </c>
      <c r="AE557" s="324" t="e">
        <f t="shared" ca="1" si="237"/>
        <v>#N/A</v>
      </c>
      <c r="AG557" s="306">
        <f t="shared" ca="1" si="259"/>
        <v>1.4761383742989516</v>
      </c>
      <c r="AH557" s="304">
        <f t="shared" ca="1" si="260"/>
        <v>-8.3087369420326844</v>
      </c>
    </row>
    <row r="558" spans="1:34" x14ac:dyDescent="0.3">
      <c r="A558" s="347">
        <f t="shared" ca="1" si="238"/>
        <v>1E-4</v>
      </c>
      <c r="B558" s="304">
        <f t="shared" ca="1" si="239"/>
        <v>16.121299999999913</v>
      </c>
      <c r="D558" s="306">
        <f t="shared" ca="1" si="240"/>
        <v>-0.59426767800679325</v>
      </c>
      <c r="E558" s="307">
        <f t="shared" ca="1" si="241"/>
        <v>-1.5224909222317251</v>
      </c>
      <c r="F558" s="304">
        <f t="shared" ca="1" si="242"/>
        <v>1.6343600219662726</v>
      </c>
      <c r="G558" s="306">
        <f t="shared" ca="1" si="243"/>
        <v>3.7416824428154158</v>
      </c>
      <c r="H558" s="307">
        <f t="shared" ca="1" si="244"/>
        <v>-52.181552750032985</v>
      </c>
      <c r="I558" s="304">
        <f t="shared" ca="1" si="245"/>
        <v>52.315529576860335</v>
      </c>
      <c r="J558" s="306">
        <f t="shared" ca="1" si="246"/>
        <v>150.09587023194715</v>
      </c>
      <c r="K558" s="307">
        <f t="shared" ca="1" si="247"/>
        <v>-3.9352771856405755</v>
      </c>
      <c r="L558" s="304">
        <f t="shared" ca="1" si="232"/>
        <v>150.14744975261266</v>
      </c>
      <c r="M558" s="306">
        <f t="shared" ca="1" si="248"/>
        <v>-1.4992137619072132</v>
      </c>
      <c r="N558" s="304">
        <f t="shared" ca="1" si="249"/>
        <v>-85.898621145214392</v>
      </c>
      <c r="P558" s="310">
        <f t="shared" ca="1" si="250"/>
        <v>23</v>
      </c>
      <c r="Q558" s="304">
        <f t="shared" ca="1" si="251"/>
        <v>0</v>
      </c>
      <c r="R558" s="306">
        <f t="shared" ca="1" si="252"/>
        <v>0</v>
      </c>
      <c r="S558" s="307">
        <f t="shared" ca="1" si="253"/>
        <v>0.4270000000000001</v>
      </c>
      <c r="T558" s="304">
        <f t="shared" ca="1" si="233"/>
        <v>4.1888700000000014</v>
      </c>
      <c r="U558" s="311">
        <f t="shared" ca="1" si="234"/>
        <v>0</v>
      </c>
      <c r="V558" s="306">
        <f t="shared" ca="1" si="235"/>
        <v>1.2254821663281485</v>
      </c>
      <c r="W558" s="304">
        <f t="shared" ca="1" si="236"/>
        <v>3.5478744189051232</v>
      </c>
      <c r="Y558" s="314" t="str">
        <f t="shared" ca="1" si="254"/>
        <v/>
      </c>
      <c r="Z558" s="315" t="str">
        <f t="shared" ca="1" si="255"/>
        <v/>
      </c>
      <c r="AA558" s="316" t="str">
        <f t="shared" ca="1" si="256"/>
        <v/>
      </c>
      <c r="AC558" s="310" t="e">
        <f t="shared" ca="1" si="257"/>
        <v>#N/A</v>
      </c>
      <c r="AD558" s="323" t="e">
        <f t="shared" ca="1" si="258"/>
        <v>#N/A</v>
      </c>
      <c r="AE558" s="324" t="e">
        <f t="shared" ca="1" si="237"/>
        <v>#N/A</v>
      </c>
      <c r="AG558" s="306">
        <f t="shared" ca="1" si="259"/>
        <v>1.4760880913898529</v>
      </c>
      <c r="AH558" s="304">
        <f t="shared" ca="1" si="260"/>
        <v>-8.3087881659851668</v>
      </c>
    </row>
    <row r="559" spans="1:34" x14ac:dyDescent="0.3">
      <c r="A559" s="347">
        <f t="shared" ca="1" si="238"/>
        <v>1E-4</v>
      </c>
      <c r="B559" s="304">
        <f t="shared" ca="1" si="239"/>
        <v>16.121399999999912</v>
      </c>
      <c r="D559" s="306">
        <f t="shared" ca="1" si="240"/>
        <v>-0.59426022658502375</v>
      </c>
      <c r="E559" s="307">
        <f t="shared" ca="1" si="241"/>
        <v>-1.5224390338534377</v>
      </c>
      <c r="F559" s="304">
        <f t="shared" ca="1" si="242"/>
        <v>1.634308975898215</v>
      </c>
      <c r="G559" s="306">
        <f t="shared" ca="1" si="243"/>
        <v>3.7416230167927576</v>
      </c>
      <c r="H559" s="307">
        <f t="shared" ca="1" si="244"/>
        <v>-52.181704993936371</v>
      </c>
      <c r="I559" s="304">
        <f t="shared" ca="1" si="245"/>
        <v>52.315677180688368</v>
      </c>
      <c r="J559" s="306">
        <f t="shared" ca="1" si="246"/>
        <v>150.09587023194715</v>
      </c>
      <c r="K559" s="307">
        <f t="shared" ca="1" si="247"/>
        <v>-3.9404953485277741</v>
      </c>
      <c r="L559" s="304">
        <f t="shared" ca="1" si="232"/>
        <v>150.14758660823452</v>
      </c>
      <c r="M559" s="306">
        <f t="shared" ca="1" si="248"/>
        <v>-1.4992151030451768</v>
      </c>
      <c r="N559" s="304">
        <f t="shared" ca="1" si="249"/>
        <v>-85.898697986759444</v>
      </c>
      <c r="P559" s="310">
        <f t="shared" ca="1" si="250"/>
        <v>23</v>
      </c>
      <c r="Q559" s="304">
        <f t="shared" ca="1" si="251"/>
        <v>0</v>
      </c>
      <c r="R559" s="306">
        <f t="shared" ca="1" si="252"/>
        <v>0</v>
      </c>
      <c r="S559" s="307">
        <f t="shared" ca="1" si="253"/>
        <v>0.4270000000000001</v>
      </c>
      <c r="T559" s="304">
        <f t="shared" ca="1" si="233"/>
        <v>4.1888700000000014</v>
      </c>
      <c r="U559" s="311">
        <f t="shared" ca="1" si="234"/>
        <v>0</v>
      </c>
      <c r="V559" s="306">
        <f t="shared" ca="1" si="235"/>
        <v>1.2254828058048963</v>
      </c>
      <c r="W559" s="304">
        <f t="shared" ca="1" si="236"/>
        <v>3.5478962903363431</v>
      </c>
      <c r="Y559" s="314" t="str">
        <f t="shared" ca="1" si="254"/>
        <v/>
      </c>
      <c r="Z559" s="315" t="str">
        <f t="shared" ca="1" si="255"/>
        <v/>
      </c>
      <c r="AA559" s="316" t="str">
        <f t="shared" ca="1" si="256"/>
        <v/>
      </c>
      <c r="AC559" s="310" t="e">
        <f t="shared" ca="1" si="257"/>
        <v>#N/A</v>
      </c>
      <c r="AD559" s="323" t="e">
        <f t="shared" ca="1" si="258"/>
        <v>#N/A</v>
      </c>
      <c r="AE559" s="324" t="e">
        <f t="shared" ca="1" si="237"/>
        <v>#N/A</v>
      </c>
      <c r="AG559" s="306">
        <f t="shared" ca="1" si="259"/>
        <v>1.476037809843957</v>
      </c>
      <c r="AH559" s="304">
        <f t="shared" ca="1" si="260"/>
        <v>-8.3088393885365868</v>
      </c>
    </row>
    <row r="560" spans="1:34" x14ac:dyDescent="0.3">
      <c r="A560" s="347">
        <f t="shared" ca="1" si="238"/>
        <v>1E-4</v>
      </c>
      <c r="B560" s="304">
        <f t="shared" ca="1" si="239"/>
        <v>16.121499999999912</v>
      </c>
      <c r="D560" s="306">
        <f t="shared" ca="1" si="240"/>
        <v>-0.59425277516419239</v>
      </c>
      <c r="E560" s="307">
        <f t="shared" ca="1" si="241"/>
        <v>-1.52238714689482</v>
      </c>
      <c r="F560" s="304">
        <f t="shared" ca="1" si="242"/>
        <v>1.6342579312400154</v>
      </c>
      <c r="G560" s="306">
        <f t="shared" ca="1" si="243"/>
        <v>3.741563591515241</v>
      </c>
      <c r="H560" s="307">
        <f t="shared" ca="1" si="244"/>
        <v>-52.181857232651062</v>
      </c>
      <c r="I560" s="304">
        <f t="shared" ca="1" si="245"/>
        <v>52.315824779488381</v>
      </c>
      <c r="J560" s="306">
        <f t="shared" ca="1" si="246"/>
        <v>150.09587023194715</v>
      </c>
      <c r="K560" s="307">
        <f t="shared" ca="1" si="247"/>
        <v>-3.9457135266391035</v>
      </c>
      <c r="L560" s="304">
        <f t="shared" ca="1" si="232"/>
        <v>150.14772364548128</v>
      </c>
      <c r="M560" s="306">
        <f t="shared" ca="1" si="248"/>
        <v>-1.4992164441542728</v>
      </c>
      <c r="N560" s="304">
        <f t="shared" ca="1" si="249"/>
        <v>-85.898774826650509</v>
      </c>
      <c r="P560" s="310">
        <f t="shared" ca="1" si="250"/>
        <v>23</v>
      </c>
      <c r="Q560" s="304">
        <f t="shared" ca="1" si="251"/>
        <v>0</v>
      </c>
      <c r="R560" s="306">
        <f t="shared" ca="1" si="252"/>
        <v>0</v>
      </c>
      <c r="S560" s="307">
        <f t="shared" ca="1" si="253"/>
        <v>0.4270000000000001</v>
      </c>
      <c r="T560" s="304">
        <f t="shared" ca="1" si="233"/>
        <v>4.1888700000000014</v>
      </c>
      <c r="U560" s="311">
        <f t="shared" ca="1" si="234"/>
        <v>0</v>
      </c>
      <c r="V560" s="306">
        <f t="shared" ca="1" si="235"/>
        <v>1.225483445283843</v>
      </c>
      <c r="W560" s="304">
        <f t="shared" ca="1" si="236"/>
        <v>3.547918161169334</v>
      </c>
      <c r="Y560" s="314" t="str">
        <f t="shared" ca="1" si="254"/>
        <v/>
      </c>
      <c r="Z560" s="315" t="str">
        <f t="shared" ca="1" si="255"/>
        <v/>
      </c>
      <c r="AA560" s="316" t="str">
        <f t="shared" ca="1" si="256"/>
        <v/>
      </c>
      <c r="AC560" s="310" t="e">
        <f t="shared" ca="1" si="257"/>
        <v>#N/A</v>
      </c>
      <c r="AD560" s="323" t="e">
        <f t="shared" ca="1" si="258"/>
        <v>#N/A</v>
      </c>
      <c r="AE560" s="324" t="e">
        <f t="shared" ca="1" si="237"/>
        <v>#N/A</v>
      </c>
      <c r="AG560" s="306">
        <f t="shared" ca="1" si="259"/>
        <v>1.4759875296612304</v>
      </c>
      <c r="AH560" s="304">
        <f t="shared" ca="1" si="260"/>
        <v>-8.3088906096869835</v>
      </c>
    </row>
    <row r="561" spans="1:34" x14ac:dyDescent="0.3">
      <c r="A561" s="347">
        <f t="shared" ca="1" si="238"/>
        <v>1E-4</v>
      </c>
      <c r="B561" s="304">
        <f t="shared" ca="1" si="239"/>
        <v>16.121599999999912</v>
      </c>
      <c r="D561" s="306">
        <f t="shared" ca="1" si="240"/>
        <v>-0.59424532374430161</v>
      </c>
      <c r="E561" s="307">
        <f t="shared" ca="1" si="241"/>
        <v>-1.5223352613558525</v>
      </c>
      <c r="F561" s="304">
        <f t="shared" ca="1" si="242"/>
        <v>1.6342068879916525</v>
      </c>
      <c r="G561" s="306">
        <f t="shared" ca="1" si="243"/>
        <v>3.7415041669828666</v>
      </c>
      <c r="H561" s="307">
        <f t="shared" ca="1" si="244"/>
        <v>-52.182009466177199</v>
      </c>
      <c r="I561" s="304">
        <f t="shared" ca="1" si="245"/>
        <v>52.315972373260514</v>
      </c>
      <c r="J561" s="306">
        <f t="shared" ca="1" si="246"/>
        <v>150.09587023194715</v>
      </c>
      <c r="K561" s="307">
        <f t="shared" ca="1" si="247"/>
        <v>-3.950931719974045</v>
      </c>
      <c r="L561" s="304">
        <f t="shared" ca="1" si="232"/>
        <v>150.14786086435402</v>
      </c>
      <c r="M561" s="306">
        <f t="shared" ca="1" si="248"/>
        <v>-1.4992177852345019</v>
      </c>
      <c r="N561" s="304">
        <f t="shared" ca="1" si="249"/>
        <v>-85.89885166488763</v>
      </c>
      <c r="P561" s="310">
        <f t="shared" ca="1" si="250"/>
        <v>23</v>
      </c>
      <c r="Q561" s="304">
        <f t="shared" ca="1" si="251"/>
        <v>0</v>
      </c>
      <c r="R561" s="306">
        <f t="shared" ca="1" si="252"/>
        <v>0</v>
      </c>
      <c r="S561" s="307">
        <f t="shared" ca="1" si="253"/>
        <v>0.4270000000000001</v>
      </c>
      <c r="T561" s="304">
        <f t="shared" ca="1" si="233"/>
        <v>4.1888700000000014</v>
      </c>
      <c r="U561" s="311">
        <f t="shared" ca="1" si="234"/>
        <v>0</v>
      </c>
      <c r="V561" s="306">
        <f t="shared" ca="1" si="235"/>
        <v>1.2254840847649895</v>
      </c>
      <c r="W561" s="304">
        <f t="shared" ca="1" si="236"/>
        <v>3.547940031404111</v>
      </c>
      <c r="Y561" s="314" t="str">
        <f t="shared" ca="1" si="254"/>
        <v/>
      </c>
      <c r="Z561" s="315" t="str">
        <f t="shared" ca="1" si="255"/>
        <v/>
      </c>
      <c r="AA561" s="316" t="str">
        <f t="shared" ca="1" si="256"/>
        <v/>
      </c>
      <c r="AC561" s="310" t="e">
        <f t="shared" ca="1" si="257"/>
        <v>#N/A</v>
      </c>
      <c r="AD561" s="323" t="e">
        <f t="shared" ca="1" si="258"/>
        <v>#N/A</v>
      </c>
      <c r="AE561" s="324" t="e">
        <f t="shared" ca="1" si="237"/>
        <v>#N/A</v>
      </c>
      <c r="AG561" s="306">
        <f t="shared" ca="1" si="259"/>
        <v>1.4759372508416533</v>
      </c>
      <c r="AH561" s="304">
        <f t="shared" ca="1" si="260"/>
        <v>-8.3089418294363782</v>
      </c>
    </row>
    <row r="562" spans="1:34" x14ac:dyDescent="0.3">
      <c r="A562" s="347">
        <f t="shared" ca="1" si="238"/>
        <v>1E-4</v>
      </c>
      <c r="B562" s="304">
        <f t="shared" ca="1" si="239"/>
        <v>16.121699999999912</v>
      </c>
      <c r="D562" s="306">
        <f t="shared" ca="1" si="240"/>
        <v>-0.59423787232535796</v>
      </c>
      <c r="E562" s="307">
        <f t="shared" ca="1" si="241"/>
        <v>-1.5222833772365032</v>
      </c>
      <c r="F562" s="304">
        <f t="shared" ca="1" si="242"/>
        <v>1.6341558461530963</v>
      </c>
      <c r="G562" s="306">
        <f t="shared" ca="1" si="243"/>
        <v>3.7414447431956339</v>
      </c>
      <c r="H562" s="307">
        <f t="shared" ca="1" si="244"/>
        <v>-52.182161694514924</v>
      </c>
      <c r="I562" s="304">
        <f t="shared" ca="1" si="245"/>
        <v>52.31611996200489</v>
      </c>
      <c r="J562" s="306">
        <f t="shared" ca="1" si="246"/>
        <v>150.09587023194715</v>
      </c>
      <c r="K562" s="307">
        <f t="shared" ca="1" si="247"/>
        <v>-3.9561499285320796</v>
      </c>
      <c r="L562" s="304">
        <f t="shared" ca="1" si="232"/>
        <v>150.14799826485381</v>
      </c>
      <c r="M562" s="306">
        <f t="shared" ca="1" si="248"/>
        <v>-1.499219126285865</v>
      </c>
      <c r="N562" s="304">
        <f t="shared" ca="1" si="249"/>
        <v>-85.898928501470834</v>
      </c>
      <c r="P562" s="310">
        <f t="shared" ca="1" si="250"/>
        <v>23</v>
      </c>
      <c r="Q562" s="304">
        <f t="shared" ca="1" si="251"/>
        <v>0</v>
      </c>
      <c r="R562" s="306">
        <f t="shared" ca="1" si="252"/>
        <v>0</v>
      </c>
      <c r="S562" s="307">
        <f t="shared" ca="1" si="253"/>
        <v>0.4270000000000001</v>
      </c>
      <c r="T562" s="304">
        <f t="shared" ca="1" si="233"/>
        <v>4.1888700000000014</v>
      </c>
      <c r="U562" s="311">
        <f t="shared" ca="1" si="234"/>
        <v>0</v>
      </c>
      <c r="V562" s="306">
        <f t="shared" ca="1" si="235"/>
        <v>1.2254847242483355</v>
      </c>
      <c r="W562" s="304">
        <f t="shared" ca="1" si="236"/>
        <v>3.5479619010406833</v>
      </c>
      <c r="Y562" s="314" t="str">
        <f t="shared" ca="1" si="254"/>
        <v/>
      </c>
      <c r="Z562" s="315" t="str">
        <f t="shared" ca="1" si="255"/>
        <v/>
      </c>
      <c r="AA562" s="316" t="str">
        <f t="shared" ca="1" si="256"/>
        <v/>
      </c>
      <c r="AC562" s="310" t="e">
        <f t="shared" ca="1" si="257"/>
        <v>#N/A</v>
      </c>
      <c r="AD562" s="323" t="e">
        <f t="shared" ca="1" si="258"/>
        <v>#N/A</v>
      </c>
      <c r="AE562" s="324" t="e">
        <f t="shared" ca="1" si="237"/>
        <v>#N/A</v>
      </c>
      <c r="AG562" s="306">
        <f t="shared" ca="1" si="259"/>
        <v>1.4758869733851974</v>
      </c>
      <c r="AH562" s="304">
        <f t="shared" ca="1" si="260"/>
        <v>-8.3089930477848011</v>
      </c>
    </row>
    <row r="563" spans="1:34" x14ac:dyDescent="0.3">
      <c r="A563" s="347">
        <f t="shared" ca="1" si="238"/>
        <v>1E-4</v>
      </c>
      <c r="B563" s="304">
        <f t="shared" ca="1" si="239"/>
        <v>16.121799999999912</v>
      </c>
      <c r="D563" s="306">
        <f t="shared" ca="1" si="240"/>
        <v>-0.59423042090736644</v>
      </c>
      <c r="E563" s="307">
        <f t="shared" ca="1" si="241"/>
        <v>-1.5222314945367472</v>
      </c>
      <c r="F563" s="304">
        <f t="shared" ca="1" si="242"/>
        <v>1.6341048057243224</v>
      </c>
      <c r="G563" s="306">
        <f t="shared" ca="1" si="243"/>
        <v>3.741385320153543</v>
      </c>
      <c r="H563" s="307">
        <f t="shared" ca="1" si="244"/>
        <v>-52.182313917664381</v>
      </c>
      <c r="I563" s="304">
        <f t="shared" ca="1" si="245"/>
        <v>52.316267545721665</v>
      </c>
      <c r="J563" s="306">
        <f t="shared" ca="1" si="246"/>
        <v>150.09587023194715</v>
      </c>
      <c r="K563" s="307">
        <f t="shared" ca="1" si="247"/>
        <v>-3.9613681523126885</v>
      </c>
      <c r="L563" s="304">
        <f t="shared" ca="1" si="232"/>
        <v>150.14813584698172</v>
      </c>
      <c r="M563" s="306">
        <f t="shared" ca="1" si="248"/>
        <v>-1.4992204673083629</v>
      </c>
      <c r="N563" s="304">
        <f t="shared" ca="1" si="249"/>
        <v>-85.899005336400208</v>
      </c>
      <c r="P563" s="310">
        <f t="shared" ca="1" si="250"/>
        <v>23</v>
      </c>
      <c r="Q563" s="304">
        <f t="shared" ca="1" si="251"/>
        <v>0</v>
      </c>
      <c r="R563" s="306">
        <f t="shared" ca="1" si="252"/>
        <v>0</v>
      </c>
      <c r="S563" s="307">
        <f t="shared" ca="1" si="253"/>
        <v>0.4270000000000001</v>
      </c>
      <c r="T563" s="304">
        <f t="shared" ca="1" si="233"/>
        <v>4.1888700000000014</v>
      </c>
      <c r="U563" s="311">
        <f t="shared" ca="1" si="234"/>
        <v>0</v>
      </c>
      <c r="V563" s="306">
        <f t="shared" ca="1" si="235"/>
        <v>1.2254853637338801</v>
      </c>
      <c r="W563" s="304">
        <f t="shared" ca="1" si="236"/>
        <v>3.5479837700790626</v>
      </c>
      <c r="Y563" s="314" t="str">
        <f t="shared" ca="1" si="254"/>
        <v/>
      </c>
      <c r="Z563" s="315" t="str">
        <f t="shared" ca="1" si="255"/>
        <v/>
      </c>
      <c r="AA563" s="316" t="str">
        <f t="shared" ca="1" si="256"/>
        <v/>
      </c>
      <c r="AC563" s="310" t="e">
        <f t="shared" ca="1" si="257"/>
        <v>#N/A</v>
      </c>
      <c r="AD563" s="323" t="e">
        <f t="shared" ca="1" si="258"/>
        <v>#N/A</v>
      </c>
      <c r="AE563" s="324" t="e">
        <f t="shared" ca="1" si="237"/>
        <v>#N/A</v>
      </c>
      <c r="AG563" s="306">
        <f t="shared" ca="1" si="259"/>
        <v>1.4758366972918378</v>
      </c>
      <c r="AH563" s="304">
        <f t="shared" ca="1" si="260"/>
        <v>-8.3090442647322771</v>
      </c>
    </row>
    <row r="564" spans="1:34" x14ac:dyDescent="0.3">
      <c r="A564" s="347">
        <f t="shared" ca="1" si="238"/>
        <v>1E-4</v>
      </c>
      <c r="B564" s="304">
        <f t="shared" ca="1" si="239"/>
        <v>16.121899999999911</v>
      </c>
      <c r="D564" s="306">
        <f t="shared" ca="1" si="240"/>
        <v>-0.59422296949033115</v>
      </c>
      <c r="E564" s="307">
        <f t="shared" ca="1" si="241"/>
        <v>-1.5221796132565579</v>
      </c>
      <c r="F564" s="304">
        <f t="shared" ca="1" si="242"/>
        <v>1.6340537667053037</v>
      </c>
      <c r="G564" s="306">
        <f t="shared" ca="1" si="243"/>
        <v>3.7413258978565938</v>
      </c>
      <c r="H564" s="307">
        <f t="shared" ca="1" si="244"/>
        <v>-52.18246613562571</v>
      </c>
      <c r="I564" s="304">
        <f t="shared" ca="1" si="245"/>
        <v>52.316415124410966</v>
      </c>
      <c r="J564" s="306">
        <f t="shared" ca="1" si="246"/>
        <v>150.09587023194715</v>
      </c>
      <c r="K564" s="307">
        <f t="shared" ca="1" si="247"/>
        <v>-3.966586391315353</v>
      </c>
      <c r="L564" s="304">
        <f t="shared" ca="1" si="232"/>
        <v>150.14827361073881</v>
      </c>
      <c r="M564" s="306">
        <f t="shared" ca="1" si="248"/>
        <v>-1.4992218083019964</v>
      </c>
      <c r="N564" s="304">
        <f t="shared" ca="1" si="249"/>
        <v>-85.899082169675751</v>
      </c>
      <c r="P564" s="310">
        <f t="shared" ca="1" si="250"/>
        <v>23</v>
      </c>
      <c r="Q564" s="304">
        <f t="shared" ca="1" si="251"/>
        <v>0</v>
      </c>
      <c r="R564" s="306">
        <f t="shared" ca="1" si="252"/>
        <v>0</v>
      </c>
      <c r="S564" s="307">
        <f t="shared" ca="1" si="253"/>
        <v>0.4270000000000001</v>
      </c>
      <c r="T564" s="304">
        <f t="shared" ca="1" si="233"/>
        <v>4.1888700000000014</v>
      </c>
      <c r="U564" s="311">
        <f t="shared" ca="1" si="234"/>
        <v>0</v>
      </c>
      <c r="V564" s="306">
        <f t="shared" ca="1" si="235"/>
        <v>1.2254860032216244</v>
      </c>
      <c r="W564" s="304">
        <f t="shared" ca="1" si="236"/>
        <v>3.5480056385192631</v>
      </c>
      <c r="Y564" s="314" t="str">
        <f t="shared" ca="1" si="254"/>
        <v/>
      </c>
      <c r="Z564" s="315" t="str">
        <f t="shared" ca="1" si="255"/>
        <v/>
      </c>
      <c r="AA564" s="316" t="str">
        <f t="shared" ca="1" si="256"/>
        <v/>
      </c>
      <c r="AC564" s="310" t="e">
        <f t="shared" ca="1" si="257"/>
        <v>#N/A</v>
      </c>
      <c r="AD564" s="323" t="e">
        <f t="shared" ca="1" si="258"/>
        <v>#N/A</v>
      </c>
      <c r="AE564" s="324" t="e">
        <f t="shared" ca="1" si="237"/>
        <v>#N/A</v>
      </c>
      <c r="AG564" s="306">
        <f t="shared" ca="1" si="259"/>
        <v>1.4757864225615513</v>
      </c>
      <c r="AH564" s="304">
        <f t="shared" ca="1" si="260"/>
        <v>-8.3090954802788328</v>
      </c>
    </row>
    <row r="565" spans="1:34" x14ac:dyDescent="0.3">
      <c r="A565" s="347">
        <f t="shared" ca="1" si="238"/>
        <v>1E-4</v>
      </c>
      <c r="B565" s="304">
        <f t="shared" ca="1" si="239"/>
        <v>16.121999999999911</v>
      </c>
      <c r="D565" s="306">
        <f t="shared" ca="1" si="240"/>
        <v>-0.59421551807425965</v>
      </c>
      <c r="E565" s="307">
        <f t="shared" ca="1" si="241"/>
        <v>-1.5221277333959016</v>
      </c>
      <c r="F565" s="304">
        <f t="shared" ca="1" si="242"/>
        <v>1.6340027290960091</v>
      </c>
      <c r="G565" s="306">
        <f t="shared" ca="1" si="243"/>
        <v>3.7412664763047863</v>
      </c>
      <c r="H565" s="307">
        <f t="shared" ca="1" si="244"/>
        <v>-52.182618348399046</v>
      </c>
      <c r="I565" s="304">
        <f t="shared" ca="1" si="245"/>
        <v>52.316562698072921</v>
      </c>
      <c r="J565" s="306">
        <f t="shared" ca="1" si="246"/>
        <v>150.09587023194715</v>
      </c>
      <c r="K565" s="307">
        <f t="shared" ca="1" si="247"/>
        <v>-3.9718046455395544</v>
      </c>
      <c r="L565" s="304">
        <f t="shared" ca="1" si="232"/>
        <v>150.14841155612618</v>
      </c>
      <c r="M565" s="306">
        <f t="shared" ca="1" si="248"/>
        <v>-1.4992231492667663</v>
      </c>
      <c r="N565" s="304">
        <f t="shared" ca="1" si="249"/>
        <v>-85.899159001297548</v>
      </c>
      <c r="P565" s="310">
        <f t="shared" ca="1" si="250"/>
        <v>23</v>
      </c>
      <c r="Q565" s="304">
        <f t="shared" ca="1" si="251"/>
        <v>0</v>
      </c>
      <c r="R565" s="306">
        <f t="shared" ca="1" si="252"/>
        <v>0</v>
      </c>
      <c r="S565" s="307">
        <f t="shared" ca="1" si="253"/>
        <v>0.4270000000000001</v>
      </c>
      <c r="T565" s="304">
        <f t="shared" ca="1" si="233"/>
        <v>4.1888700000000014</v>
      </c>
      <c r="U565" s="311">
        <f t="shared" ca="1" si="234"/>
        <v>0</v>
      </c>
      <c r="V565" s="306">
        <f t="shared" ca="1" si="235"/>
        <v>1.2254866427115678</v>
      </c>
      <c r="W565" s="304">
        <f t="shared" ca="1" si="236"/>
        <v>3.5480275063612927</v>
      </c>
      <c r="Y565" s="314" t="str">
        <f t="shared" ca="1" si="254"/>
        <v/>
      </c>
      <c r="Z565" s="315" t="str">
        <f t="shared" ca="1" si="255"/>
        <v/>
      </c>
      <c r="AA565" s="316" t="str">
        <f t="shared" ca="1" si="256"/>
        <v/>
      </c>
      <c r="AC565" s="310" t="e">
        <f t="shared" ca="1" si="257"/>
        <v>#N/A</v>
      </c>
      <c r="AD565" s="323" t="e">
        <f t="shared" ca="1" si="258"/>
        <v>#N/A</v>
      </c>
      <c r="AE565" s="324" t="e">
        <f t="shared" ca="1" si="237"/>
        <v>#N/A</v>
      </c>
      <c r="AG565" s="306">
        <f t="shared" ca="1" si="259"/>
        <v>1.4757361491943026</v>
      </c>
      <c r="AH565" s="304">
        <f t="shared" ca="1" si="260"/>
        <v>-8.309146694424502</v>
      </c>
    </row>
    <row r="566" spans="1:34" x14ac:dyDescent="0.3">
      <c r="A566" s="347">
        <f t="shared" ca="1" si="238"/>
        <v>1E-4</v>
      </c>
      <c r="B566" s="304">
        <f t="shared" ca="1" si="239"/>
        <v>16.122099999999911</v>
      </c>
      <c r="D566" s="306">
        <f t="shared" ca="1" si="240"/>
        <v>-0.59420806665915549</v>
      </c>
      <c r="E566" s="307">
        <f t="shared" ca="1" si="241"/>
        <v>-1.5220758549547586</v>
      </c>
      <c r="F566" s="304">
        <f t="shared" ca="1" si="242"/>
        <v>1.6339516928964182</v>
      </c>
      <c r="G566" s="306">
        <f t="shared" ca="1" si="243"/>
        <v>3.7412070554981205</v>
      </c>
      <c r="H566" s="307">
        <f t="shared" ca="1" si="244"/>
        <v>-52.18277055598454</v>
      </c>
      <c r="I566" s="304">
        <f t="shared" ca="1" si="245"/>
        <v>52.316710266707673</v>
      </c>
      <c r="J566" s="306">
        <f t="shared" ca="1" si="246"/>
        <v>150.09587023194715</v>
      </c>
      <c r="K566" s="307">
        <f t="shared" ca="1" si="247"/>
        <v>-3.9770229149847736</v>
      </c>
      <c r="L566" s="304">
        <f t="shared" ca="1" si="232"/>
        <v>150.14854968314489</v>
      </c>
      <c r="M566" s="306">
        <f t="shared" ca="1" si="248"/>
        <v>-1.4992244902026735</v>
      </c>
      <c r="N566" s="304">
        <f t="shared" ca="1" si="249"/>
        <v>-85.899235831265628</v>
      </c>
      <c r="P566" s="310">
        <f t="shared" ca="1" si="250"/>
        <v>23</v>
      </c>
      <c r="Q566" s="304">
        <f t="shared" ca="1" si="251"/>
        <v>0</v>
      </c>
      <c r="R566" s="306">
        <f t="shared" ca="1" si="252"/>
        <v>0</v>
      </c>
      <c r="S566" s="307">
        <f t="shared" ca="1" si="253"/>
        <v>0.4270000000000001</v>
      </c>
      <c r="T566" s="304">
        <f t="shared" ca="1" si="233"/>
        <v>4.1888700000000014</v>
      </c>
      <c r="U566" s="311">
        <f t="shared" ca="1" si="234"/>
        <v>0</v>
      </c>
      <c r="V566" s="306">
        <f t="shared" ca="1" si="235"/>
        <v>1.2254872822037102</v>
      </c>
      <c r="W566" s="304">
        <f t="shared" ca="1" si="236"/>
        <v>3.5480493736051657</v>
      </c>
      <c r="Y566" s="314" t="str">
        <f t="shared" ca="1" si="254"/>
        <v/>
      </c>
      <c r="Z566" s="315" t="str">
        <f t="shared" ca="1" si="255"/>
        <v/>
      </c>
      <c r="AA566" s="316" t="str">
        <f t="shared" ca="1" si="256"/>
        <v/>
      </c>
      <c r="AC566" s="310" t="e">
        <f t="shared" ca="1" si="257"/>
        <v>#N/A</v>
      </c>
      <c r="AD566" s="323" t="e">
        <f t="shared" ca="1" si="258"/>
        <v>#N/A</v>
      </c>
      <c r="AE566" s="324" t="e">
        <f t="shared" ca="1" si="237"/>
        <v>#N/A</v>
      </c>
      <c r="AG566" s="306">
        <f t="shared" ca="1" si="259"/>
        <v>1.4756858771900792</v>
      </c>
      <c r="AH566" s="304">
        <f t="shared" ca="1" si="260"/>
        <v>-8.3091979071693025</v>
      </c>
    </row>
    <row r="567" spans="1:34" x14ac:dyDescent="0.3">
      <c r="A567" s="347">
        <f t="shared" ca="1" si="238"/>
        <v>1E-4</v>
      </c>
      <c r="B567" s="304">
        <f t="shared" ca="1" si="239"/>
        <v>16.122199999999911</v>
      </c>
      <c r="D567" s="306">
        <f t="shared" ca="1" si="240"/>
        <v>-0.59420061524502399</v>
      </c>
      <c r="E567" s="307">
        <f t="shared" ca="1" si="241"/>
        <v>-1.5220239779330971</v>
      </c>
      <c r="F567" s="304">
        <f t="shared" ca="1" si="242"/>
        <v>1.6339006581065001</v>
      </c>
      <c r="G567" s="306">
        <f t="shared" ca="1" si="243"/>
        <v>3.741147635436596</v>
      </c>
      <c r="H567" s="307">
        <f t="shared" ca="1" si="244"/>
        <v>-52.182922758382333</v>
      </c>
      <c r="I567" s="304">
        <f t="shared" ca="1" si="245"/>
        <v>52.316857830315357</v>
      </c>
      <c r="J567" s="306">
        <f t="shared" ca="1" si="246"/>
        <v>150.09587023194715</v>
      </c>
      <c r="K567" s="307">
        <f t="shared" ca="1" si="247"/>
        <v>-3.9822411996504918</v>
      </c>
      <c r="L567" s="304">
        <f t="shared" ca="1" si="232"/>
        <v>150.14868799179601</v>
      </c>
      <c r="M567" s="306">
        <f t="shared" ca="1" si="248"/>
        <v>-1.4992258311097186</v>
      </c>
      <c r="N567" s="304">
        <f t="shared" ca="1" si="249"/>
        <v>-85.899312659580033</v>
      </c>
      <c r="P567" s="310">
        <f t="shared" ca="1" si="250"/>
        <v>23</v>
      </c>
      <c r="Q567" s="304">
        <f t="shared" ca="1" si="251"/>
        <v>0</v>
      </c>
      <c r="R567" s="306">
        <f t="shared" ca="1" si="252"/>
        <v>0</v>
      </c>
      <c r="S567" s="307">
        <f t="shared" ca="1" si="253"/>
        <v>0.4270000000000001</v>
      </c>
      <c r="T567" s="304">
        <f t="shared" ca="1" si="233"/>
        <v>4.1888700000000014</v>
      </c>
      <c r="U567" s="311">
        <f t="shared" ca="1" si="234"/>
        <v>0</v>
      </c>
      <c r="V567" s="306">
        <f t="shared" ca="1" si="235"/>
        <v>1.2254879216980517</v>
      </c>
      <c r="W567" s="304">
        <f t="shared" ca="1" si="236"/>
        <v>3.5480712402508923</v>
      </c>
      <c r="Y567" s="314" t="str">
        <f t="shared" ca="1" si="254"/>
        <v/>
      </c>
      <c r="Z567" s="315" t="str">
        <f t="shared" ca="1" si="255"/>
        <v/>
      </c>
      <c r="AA567" s="316" t="str">
        <f t="shared" ca="1" si="256"/>
        <v/>
      </c>
      <c r="AC567" s="310" t="e">
        <f t="shared" ca="1" si="257"/>
        <v>#N/A</v>
      </c>
      <c r="AD567" s="323" t="e">
        <f t="shared" ca="1" si="258"/>
        <v>#N/A</v>
      </c>
      <c r="AE567" s="324" t="e">
        <f t="shared" ca="1" si="237"/>
        <v>#N/A</v>
      </c>
      <c r="AG567" s="306">
        <f t="shared" ca="1" si="259"/>
        <v>1.4756356065488507</v>
      </c>
      <c r="AH567" s="304">
        <f t="shared" ca="1" si="260"/>
        <v>-8.3092491185132662</v>
      </c>
    </row>
    <row r="568" spans="1:34" x14ac:dyDescent="0.3">
      <c r="A568" s="347">
        <f t="shared" ca="1" si="238"/>
        <v>1E-4</v>
      </c>
      <c r="B568" s="304">
        <f t="shared" ca="1" si="239"/>
        <v>16.12229999999991</v>
      </c>
      <c r="D568" s="306">
        <f t="shared" ca="1" si="240"/>
        <v>-0.59419316383187148</v>
      </c>
      <c r="E568" s="307">
        <f t="shared" ca="1" si="241"/>
        <v>-1.5219721023308921</v>
      </c>
      <c r="F568" s="304">
        <f t="shared" ca="1" si="242"/>
        <v>1.6338496247262306</v>
      </c>
      <c r="G568" s="306">
        <f t="shared" ca="1" si="243"/>
        <v>3.7410882161202128</v>
      </c>
      <c r="H568" s="307">
        <f t="shared" ca="1" si="244"/>
        <v>-52.183074955592566</v>
      </c>
      <c r="I568" s="304">
        <f t="shared" ca="1" si="245"/>
        <v>52.317005388896121</v>
      </c>
      <c r="J568" s="306">
        <f t="shared" ca="1" si="246"/>
        <v>150.09587023194715</v>
      </c>
      <c r="K568" s="307">
        <f t="shared" ca="1" si="247"/>
        <v>-3.9874594995361905</v>
      </c>
      <c r="L568" s="304">
        <f t="shared" ca="1" si="232"/>
        <v>150.14882648208064</v>
      </c>
      <c r="M568" s="306">
        <f t="shared" ca="1" si="248"/>
        <v>-1.4992271719879029</v>
      </c>
      <c r="N568" s="304">
        <f t="shared" ca="1" si="249"/>
        <v>-85.899389486240835</v>
      </c>
      <c r="P568" s="310">
        <f t="shared" ca="1" si="250"/>
        <v>23</v>
      </c>
      <c r="Q568" s="304">
        <f t="shared" ca="1" si="251"/>
        <v>0</v>
      </c>
      <c r="R568" s="306">
        <f t="shared" ca="1" si="252"/>
        <v>0</v>
      </c>
      <c r="S568" s="307">
        <f t="shared" ca="1" si="253"/>
        <v>0.4270000000000001</v>
      </c>
      <c r="T568" s="304">
        <f t="shared" ca="1" si="233"/>
        <v>4.1888700000000014</v>
      </c>
      <c r="U568" s="311">
        <f t="shared" ca="1" si="234"/>
        <v>0</v>
      </c>
      <c r="V568" s="306">
        <f t="shared" ca="1" si="235"/>
        <v>1.2254885611945918</v>
      </c>
      <c r="W568" s="304">
        <f t="shared" ca="1" si="236"/>
        <v>3.5480931062984853</v>
      </c>
      <c r="Y568" s="314" t="str">
        <f t="shared" ca="1" si="254"/>
        <v/>
      </c>
      <c r="Z568" s="315" t="str">
        <f t="shared" ca="1" si="255"/>
        <v/>
      </c>
      <c r="AA568" s="316" t="str">
        <f t="shared" ca="1" si="256"/>
        <v/>
      </c>
      <c r="AC568" s="310" t="e">
        <f t="shared" ca="1" si="257"/>
        <v>#N/A</v>
      </c>
      <c r="AD568" s="323" t="e">
        <f t="shared" ca="1" si="258"/>
        <v>#N/A</v>
      </c>
      <c r="AE568" s="324" t="e">
        <f t="shared" ca="1" si="237"/>
        <v>#N/A</v>
      </c>
      <c r="AG568" s="306">
        <f t="shared" ca="1" si="259"/>
        <v>1.4755853372705907</v>
      </c>
      <c r="AH568" s="304">
        <f t="shared" ca="1" si="260"/>
        <v>-8.3093003284564197</v>
      </c>
    </row>
    <row r="569" spans="1:34" x14ac:dyDescent="0.3">
      <c r="A569" s="347">
        <f t="shared" ca="1" si="238"/>
        <v>1E-4</v>
      </c>
      <c r="B569" s="304">
        <f t="shared" ca="1" si="239"/>
        <v>16.12239999999991</v>
      </c>
      <c r="D569" s="306">
        <f t="shared" ca="1" si="240"/>
        <v>-0.5941857124197012</v>
      </c>
      <c r="E569" s="307">
        <f t="shared" ca="1" si="241"/>
        <v>-1.5219202281481081</v>
      </c>
      <c r="F569" s="304">
        <f t="shared" ca="1" si="242"/>
        <v>1.6337985927555752</v>
      </c>
      <c r="G569" s="306">
        <f t="shared" ca="1" si="243"/>
        <v>3.7410287975489709</v>
      </c>
      <c r="H569" s="307">
        <f t="shared" ca="1" si="244"/>
        <v>-52.183227147615384</v>
      </c>
      <c r="I569" s="304">
        <f t="shared" ca="1" si="245"/>
        <v>52.317152942450086</v>
      </c>
      <c r="J569" s="306">
        <f t="shared" ca="1" si="246"/>
        <v>150.09587023194715</v>
      </c>
      <c r="K569" s="307">
        <f t="shared" ca="1" si="247"/>
        <v>-3.9926778146413509</v>
      </c>
      <c r="L569" s="304">
        <f t="shared" ca="1" si="232"/>
        <v>150.1489651539998</v>
      </c>
      <c r="M569" s="306">
        <f t="shared" ca="1" si="248"/>
        <v>-1.4992285128372269</v>
      </c>
      <c r="N569" s="304">
        <f t="shared" ca="1" si="249"/>
        <v>-85.899466311248062</v>
      </c>
      <c r="P569" s="310">
        <f t="shared" ca="1" si="250"/>
        <v>23</v>
      </c>
      <c r="Q569" s="304">
        <f t="shared" ca="1" si="251"/>
        <v>0</v>
      </c>
      <c r="R569" s="306">
        <f t="shared" ca="1" si="252"/>
        <v>0</v>
      </c>
      <c r="S569" s="307">
        <f t="shared" ca="1" si="253"/>
        <v>0.4270000000000001</v>
      </c>
      <c r="T569" s="304">
        <f t="shared" ca="1" si="233"/>
        <v>4.1888700000000014</v>
      </c>
      <c r="U569" s="311">
        <f t="shared" ca="1" si="234"/>
        <v>0</v>
      </c>
      <c r="V569" s="306">
        <f t="shared" ca="1" si="235"/>
        <v>1.2254892006933311</v>
      </c>
      <c r="W569" s="304">
        <f t="shared" ca="1" si="236"/>
        <v>3.5481149717479568</v>
      </c>
      <c r="Y569" s="314" t="str">
        <f t="shared" ca="1" si="254"/>
        <v/>
      </c>
      <c r="Z569" s="315" t="str">
        <f t="shared" ca="1" si="255"/>
        <v/>
      </c>
      <c r="AA569" s="316" t="str">
        <f t="shared" ca="1" si="256"/>
        <v/>
      </c>
      <c r="AC569" s="310" t="e">
        <f t="shared" ca="1" si="257"/>
        <v>#N/A</v>
      </c>
      <c r="AD569" s="323" t="e">
        <f t="shared" ca="1" si="258"/>
        <v>#N/A</v>
      </c>
      <c r="AE569" s="324" t="e">
        <f t="shared" ca="1" si="237"/>
        <v>#N/A</v>
      </c>
      <c r="AG569" s="306">
        <f t="shared" ca="1" si="259"/>
        <v>1.4755350693552725</v>
      </c>
      <c r="AH569" s="304">
        <f t="shared" ca="1" si="260"/>
        <v>-8.3093515369987934</v>
      </c>
    </row>
    <row r="570" spans="1:34" x14ac:dyDescent="0.3">
      <c r="A570" s="347">
        <f t="shared" ca="1" si="238"/>
        <v>1E-4</v>
      </c>
      <c r="B570" s="304">
        <f t="shared" ca="1" si="239"/>
        <v>16.12249999999991</v>
      </c>
      <c r="D570" s="306">
        <f t="shared" ca="1" si="240"/>
        <v>-0.59417826100851945</v>
      </c>
      <c r="E570" s="307">
        <f t="shared" ca="1" si="241"/>
        <v>-1.5218683553847256</v>
      </c>
      <c r="F570" s="304">
        <f t="shared" ca="1" si="242"/>
        <v>1.6337475621945141</v>
      </c>
      <c r="G570" s="306">
        <f t="shared" ca="1" si="243"/>
        <v>3.7409693797228702</v>
      </c>
      <c r="H570" s="307">
        <f t="shared" ca="1" si="244"/>
        <v>-52.183379334450919</v>
      </c>
      <c r="I570" s="304">
        <f t="shared" ca="1" si="245"/>
        <v>52.317300490977395</v>
      </c>
      <c r="J570" s="306">
        <f t="shared" ca="1" si="246"/>
        <v>150.09587023194715</v>
      </c>
      <c r="K570" s="307">
        <f t="shared" ca="1" si="247"/>
        <v>-3.9978961449654542</v>
      </c>
      <c r="L570" s="304">
        <f t="shared" ca="1" si="232"/>
        <v>150.1491040075546</v>
      </c>
      <c r="M570" s="306">
        <f t="shared" ca="1" si="248"/>
        <v>-1.4992298536576916</v>
      </c>
      <c r="N570" s="304">
        <f t="shared" ca="1" si="249"/>
        <v>-85.899543134601771</v>
      </c>
      <c r="P570" s="310">
        <f t="shared" ca="1" si="250"/>
        <v>23</v>
      </c>
      <c r="Q570" s="304">
        <f t="shared" ca="1" si="251"/>
        <v>0</v>
      </c>
      <c r="R570" s="306">
        <f t="shared" ca="1" si="252"/>
        <v>0</v>
      </c>
      <c r="S570" s="307">
        <f t="shared" ca="1" si="253"/>
        <v>0.4270000000000001</v>
      </c>
      <c r="T570" s="304">
        <f t="shared" ca="1" si="233"/>
        <v>4.1888700000000014</v>
      </c>
      <c r="U570" s="311">
        <f t="shared" ca="1" si="234"/>
        <v>0</v>
      </c>
      <c r="V570" s="306">
        <f t="shared" ca="1" si="235"/>
        <v>1.2254898401942698</v>
      </c>
      <c r="W570" s="304">
        <f t="shared" ca="1" si="236"/>
        <v>3.5481368365993182</v>
      </c>
      <c r="Y570" s="314" t="str">
        <f t="shared" ca="1" si="254"/>
        <v/>
      </c>
      <c r="Z570" s="315" t="str">
        <f t="shared" ca="1" si="255"/>
        <v/>
      </c>
      <c r="AA570" s="316" t="str">
        <f t="shared" ca="1" si="256"/>
        <v/>
      </c>
      <c r="AC570" s="310" t="e">
        <f t="shared" ca="1" si="257"/>
        <v>#N/A</v>
      </c>
      <c r="AD570" s="323" t="e">
        <f t="shared" ca="1" si="258"/>
        <v>#N/A</v>
      </c>
      <c r="AE570" s="324" t="e">
        <f t="shared" ca="1" si="237"/>
        <v>#N/A</v>
      </c>
      <c r="AG570" s="306">
        <f t="shared" ca="1" si="259"/>
        <v>1.4754848028028693</v>
      </c>
      <c r="AH570" s="304">
        <f t="shared" ca="1" si="260"/>
        <v>-8.3094027441404119</v>
      </c>
    </row>
    <row r="571" spans="1:34" x14ac:dyDescent="0.3">
      <c r="A571" s="347">
        <f t="shared" ca="1" si="238"/>
        <v>1E-4</v>
      </c>
      <c r="B571" s="304">
        <f t="shared" ca="1" si="239"/>
        <v>16.12259999999991</v>
      </c>
      <c r="D571" s="306">
        <f t="shared" ca="1" si="240"/>
        <v>-0.59417080959833113</v>
      </c>
      <c r="E571" s="307">
        <f t="shared" ca="1" si="241"/>
        <v>-1.5218164840407109</v>
      </c>
      <c r="F571" s="304">
        <f t="shared" ca="1" si="242"/>
        <v>1.6336965330430151</v>
      </c>
      <c r="G571" s="306">
        <f t="shared" ca="1" si="243"/>
        <v>3.7409099626419104</v>
      </c>
      <c r="H571" s="307">
        <f t="shared" ca="1" si="244"/>
        <v>-52.183531516099322</v>
      </c>
      <c r="I571" s="304">
        <f t="shared" ca="1" si="245"/>
        <v>52.317448034478176</v>
      </c>
      <c r="J571" s="306">
        <f t="shared" ca="1" si="246"/>
        <v>150.09587023194715</v>
      </c>
      <c r="K571" s="307">
        <f t="shared" ca="1" si="247"/>
        <v>-4.0031144905079818</v>
      </c>
      <c r="L571" s="304">
        <f t="shared" ca="1" si="232"/>
        <v>150.14924304274606</v>
      </c>
      <c r="M571" s="306">
        <f t="shared" ca="1" si="248"/>
        <v>-1.4992311944492975</v>
      </c>
      <c r="N571" s="304">
        <f t="shared" ca="1" si="249"/>
        <v>-85.899619956302004</v>
      </c>
      <c r="P571" s="310">
        <f t="shared" ca="1" si="250"/>
        <v>23</v>
      </c>
      <c r="Q571" s="304">
        <f t="shared" ca="1" si="251"/>
        <v>0</v>
      </c>
      <c r="R571" s="306">
        <f t="shared" ca="1" si="252"/>
        <v>0</v>
      </c>
      <c r="S571" s="307">
        <f t="shared" ca="1" si="253"/>
        <v>0.4270000000000001</v>
      </c>
      <c r="T571" s="304">
        <f t="shared" ca="1" si="233"/>
        <v>4.1888700000000014</v>
      </c>
      <c r="U571" s="311">
        <f t="shared" ca="1" si="234"/>
        <v>0</v>
      </c>
      <c r="V571" s="306">
        <f t="shared" ca="1" si="235"/>
        <v>1.2254904796974064</v>
      </c>
      <c r="W571" s="304">
        <f t="shared" ca="1" si="236"/>
        <v>3.5481587008525781</v>
      </c>
      <c r="Y571" s="314" t="str">
        <f t="shared" ca="1" si="254"/>
        <v/>
      </c>
      <c r="Z571" s="315" t="str">
        <f t="shared" ca="1" si="255"/>
        <v/>
      </c>
      <c r="AA571" s="316" t="str">
        <f t="shared" ca="1" si="256"/>
        <v/>
      </c>
      <c r="AC571" s="310" t="e">
        <f t="shared" ca="1" si="257"/>
        <v>#N/A</v>
      </c>
      <c r="AD571" s="323" t="e">
        <f t="shared" ca="1" si="258"/>
        <v>#N/A</v>
      </c>
      <c r="AE571" s="324" t="e">
        <f t="shared" ca="1" si="237"/>
        <v>#N/A</v>
      </c>
      <c r="AG571" s="306">
        <f t="shared" ca="1" si="259"/>
        <v>1.4754345376133564</v>
      </c>
      <c r="AH571" s="304">
        <f t="shared" ca="1" si="260"/>
        <v>-8.3094539498813056</v>
      </c>
    </row>
    <row r="572" spans="1:34" x14ac:dyDescent="0.3">
      <c r="A572" s="347">
        <f t="shared" ca="1" si="238"/>
        <v>1E-4</v>
      </c>
      <c r="B572" s="304">
        <f t="shared" ca="1" si="239"/>
        <v>16.122699999999909</v>
      </c>
      <c r="D572" s="306">
        <f t="shared" ca="1" si="240"/>
        <v>-0.59416335818914201</v>
      </c>
      <c r="E572" s="307">
        <f t="shared" ca="1" si="241"/>
        <v>-1.5217646141160461</v>
      </c>
      <c r="F572" s="304">
        <f t="shared" ca="1" si="242"/>
        <v>1.6336455053010608</v>
      </c>
      <c r="G572" s="306">
        <f t="shared" ca="1" si="243"/>
        <v>3.7408505463060915</v>
      </c>
      <c r="H572" s="307">
        <f t="shared" ca="1" si="244"/>
        <v>-52.183683692560734</v>
      </c>
      <c r="I572" s="304">
        <f t="shared" ca="1" si="245"/>
        <v>52.317595572952584</v>
      </c>
      <c r="J572" s="306">
        <f t="shared" ca="1" si="246"/>
        <v>150.09587023194715</v>
      </c>
      <c r="K572" s="307">
        <f t="shared" ca="1" si="247"/>
        <v>-4.0083328512684151</v>
      </c>
      <c r="L572" s="304">
        <f t="shared" ca="1" si="232"/>
        <v>150.14938225957533</v>
      </c>
      <c r="M572" s="306">
        <f t="shared" ca="1" si="248"/>
        <v>-1.4992325352120457</v>
      </c>
      <c r="N572" s="304">
        <f t="shared" ca="1" si="249"/>
        <v>-85.899696776348804</v>
      </c>
      <c r="P572" s="310">
        <f t="shared" ca="1" si="250"/>
        <v>23</v>
      </c>
      <c r="Q572" s="304">
        <f t="shared" ca="1" si="251"/>
        <v>0</v>
      </c>
      <c r="R572" s="306">
        <f t="shared" ca="1" si="252"/>
        <v>0</v>
      </c>
      <c r="S572" s="307">
        <f t="shared" ca="1" si="253"/>
        <v>0.4270000000000001</v>
      </c>
      <c r="T572" s="304">
        <f t="shared" ca="1" si="233"/>
        <v>4.1888700000000014</v>
      </c>
      <c r="U572" s="311">
        <f t="shared" ca="1" si="234"/>
        <v>0</v>
      </c>
      <c r="V572" s="306">
        <f t="shared" ca="1" si="235"/>
        <v>1.2254911192027425</v>
      </c>
      <c r="W572" s="304">
        <f t="shared" ca="1" si="236"/>
        <v>3.5481805645077542</v>
      </c>
      <c r="Y572" s="314" t="str">
        <f t="shared" ca="1" si="254"/>
        <v/>
      </c>
      <c r="Z572" s="315" t="str">
        <f t="shared" ca="1" si="255"/>
        <v/>
      </c>
      <c r="AA572" s="316" t="str">
        <f t="shared" ca="1" si="256"/>
        <v/>
      </c>
      <c r="AC572" s="310" t="e">
        <f t="shared" ca="1" si="257"/>
        <v>#N/A</v>
      </c>
      <c r="AD572" s="323" t="e">
        <f t="shared" ca="1" si="258"/>
        <v>#N/A</v>
      </c>
      <c r="AE572" s="324" t="e">
        <f t="shared" ca="1" si="237"/>
        <v>#N/A</v>
      </c>
      <c r="AG572" s="306">
        <f t="shared" ca="1" si="259"/>
        <v>1.4753842737867178</v>
      </c>
      <c r="AH572" s="304">
        <f t="shared" ca="1" si="260"/>
        <v>-8.3095051542214922</v>
      </c>
    </row>
    <row r="573" spans="1:34" x14ac:dyDescent="0.3">
      <c r="A573" s="347">
        <f t="shared" ca="1" si="238"/>
        <v>1E-4</v>
      </c>
      <c r="B573" s="304">
        <f t="shared" ca="1" si="239"/>
        <v>16.122799999999909</v>
      </c>
      <c r="D573" s="306">
        <f t="shared" ca="1" si="240"/>
        <v>-0.59415590678095809</v>
      </c>
      <c r="E573" s="307">
        <f t="shared" ca="1" si="241"/>
        <v>-1.5217127456106887</v>
      </c>
      <c r="F573" s="304">
        <f t="shared" ca="1" si="242"/>
        <v>1.6335944789686094</v>
      </c>
      <c r="G573" s="306">
        <f t="shared" ca="1" si="243"/>
        <v>3.7407911307154134</v>
      </c>
      <c r="H573" s="307">
        <f t="shared" ca="1" si="244"/>
        <v>-52.183835863835299</v>
      </c>
      <c r="I573" s="304">
        <f t="shared" ca="1" si="245"/>
        <v>52.317743106400741</v>
      </c>
      <c r="J573" s="306">
        <f t="shared" ca="1" si="246"/>
        <v>150.09587023194715</v>
      </c>
      <c r="K573" s="307">
        <f t="shared" ca="1" si="247"/>
        <v>-4.0135512272462348</v>
      </c>
      <c r="L573" s="304">
        <f t="shared" ca="1" si="232"/>
        <v>150.1495216580434</v>
      </c>
      <c r="M573" s="306">
        <f t="shared" ca="1" si="248"/>
        <v>-1.4992338759459372</v>
      </c>
      <c r="N573" s="304">
        <f t="shared" ca="1" si="249"/>
        <v>-85.899773594742229</v>
      </c>
      <c r="P573" s="310">
        <f t="shared" ca="1" si="250"/>
        <v>23</v>
      </c>
      <c r="Q573" s="304">
        <f t="shared" ca="1" si="251"/>
        <v>0</v>
      </c>
      <c r="R573" s="306">
        <f t="shared" ca="1" si="252"/>
        <v>0</v>
      </c>
      <c r="S573" s="307">
        <f t="shared" ca="1" si="253"/>
        <v>0.4270000000000001</v>
      </c>
      <c r="T573" s="304">
        <f t="shared" ca="1" si="233"/>
        <v>4.1888700000000014</v>
      </c>
      <c r="U573" s="311">
        <f t="shared" ca="1" si="234"/>
        <v>0</v>
      </c>
      <c r="V573" s="306">
        <f t="shared" ca="1" si="235"/>
        <v>1.2254917587102765</v>
      </c>
      <c r="W573" s="304">
        <f t="shared" ca="1" si="236"/>
        <v>3.5482024275648527</v>
      </c>
      <c r="Y573" s="314" t="str">
        <f t="shared" ca="1" si="254"/>
        <v/>
      </c>
      <c r="Z573" s="315" t="str">
        <f t="shared" ca="1" si="255"/>
        <v/>
      </c>
      <c r="AA573" s="316" t="str">
        <f t="shared" ca="1" si="256"/>
        <v/>
      </c>
      <c r="AC573" s="310" t="e">
        <f t="shared" ca="1" si="257"/>
        <v>#N/A</v>
      </c>
      <c r="AD573" s="323" t="e">
        <f t="shared" ca="1" si="258"/>
        <v>#N/A</v>
      </c>
      <c r="AE573" s="324" t="e">
        <f t="shared" ca="1" si="237"/>
        <v>#N/A</v>
      </c>
      <c r="AG573" s="306">
        <f t="shared" ca="1" si="259"/>
        <v>1.4753340113229072</v>
      </c>
      <c r="AH573" s="304">
        <f t="shared" ca="1" si="260"/>
        <v>-8.3095563571610143</v>
      </c>
    </row>
    <row r="574" spans="1:34" x14ac:dyDescent="0.3">
      <c r="A574" s="347">
        <f t="shared" ca="1" si="238"/>
        <v>1E-4</v>
      </c>
      <c r="B574" s="304">
        <f t="shared" ca="1" si="239"/>
        <v>16.122899999999909</v>
      </c>
      <c r="D574" s="306">
        <f t="shared" ca="1" si="240"/>
        <v>-0.59414845537378125</v>
      </c>
      <c r="E574" s="307">
        <f t="shared" ca="1" si="241"/>
        <v>-1.5216608785246208</v>
      </c>
      <c r="F574" s="304">
        <f t="shared" ca="1" si="242"/>
        <v>1.6335434540456435</v>
      </c>
      <c r="G574" s="306">
        <f t="shared" ca="1" si="243"/>
        <v>3.7407317158698761</v>
      </c>
      <c r="H574" s="307">
        <f t="shared" ca="1" si="244"/>
        <v>-52.18398802992315</v>
      </c>
      <c r="I574" s="304">
        <f t="shared" ca="1" si="245"/>
        <v>52.317890634822781</v>
      </c>
      <c r="J574" s="306">
        <f t="shared" ca="1" si="246"/>
        <v>150.09587023194715</v>
      </c>
      <c r="K574" s="307">
        <f t="shared" ca="1" si="247"/>
        <v>-4.0187696184409232</v>
      </c>
      <c r="L574" s="304">
        <f t="shared" ca="1" si="232"/>
        <v>150.1496612381514</v>
      </c>
      <c r="M574" s="306">
        <f t="shared" ca="1" si="248"/>
        <v>-1.4992352166509724</v>
      </c>
      <c r="N574" s="304">
        <f t="shared" ca="1" si="249"/>
        <v>-85.899850411482319</v>
      </c>
      <c r="P574" s="310">
        <f t="shared" ca="1" si="250"/>
        <v>23</v>
      </c>
      <c r="Q574" s="304">
        <f t="shared" ca="1" si="251"/>
        <v>0</v>
      </c>
      <c r="R574" s="306">
        <f t="shared" ca="1" si="252"/>
        <v>0</v>
      </c>
      <c r="S574" s="307">
        <f t="shared" ca="1" si="253"/>
        <v>0.4270000000000001</v>
      </c>
      <c r="T574" s="304">
        <f t="shared" ca="1" si="233"/>
        <v>4.1888700000000014</v>
      </c>
      <c r="U574" s="311">
        <f t="shared" ca="1" si="234"/>
        <v>0</v>
      </c>
      <c r="V574" s="306">
        <f t="shared" ca="1" si="235"/>
        <v>1.2254923982200094</v>
      </c>
      <c r="W574" s="304">
        <f t="shared" ca="1" si="236"/>
        <v>3.5482242900238861</v>
      </c>
      <c r="Y574" s="314" t="str">
        <f t="shared" ca="1" si="254"/>
        <v/>
      </c>
      <c r="Z574" s="315" t="str">
        <f t="shared" ca="1" si="255"/>
        <v/>
      </c>
      <c r="AA574" s="316" t="str">
        <f t="shared" ca="1" si="256"/>
        <v/>
      </c>
      <c r="AC574" s="310" t="e">
        <f t="shared" ca="1" si="257"/>
        <v>#N/A</v>
      </c>
      <c r="AD574" s="323" t="e">
        <f t="shared" ca="1" si="258"/>
        <v>#N/A</v>
      </c>
      <c r="AE574" s="324" t="e">
        <f t="shared" ca="1" si="237"/>
        <v>#N/A</v>
      </c>
      <c r="AG574" s="306">
        <f t="shared" ca="1" si="259"/>
        <v>1.4752837502219176</v>
      </c>
      <c r="AH574" s="304">
        <f t="shared" ca="1" si="260"/>
        <v>-8.3096075586998879</v>
      </c>
    </row>
    <row r="575" spans="1:34" x14ac:dyDescent="0.3">
      <c r="A575" s="347">
        <f t="shared" ca="1" si="238"/>
        <v>1E-4</v>
      </c>
      <c r="B575" s="304">
        <f t="shared" ca="1" si="239"/>
        <v>16.122999999999909</v>
      </c>
      <c r="D575" s="306">
        <f t="shared" ca="1" si="240"/>
        <v>-0.59414100396761971</v>
      </c>
      <c r="E575" s="307">
        <f t="shared" ca="1" si="241"/>
        <v>-1.5216090128578195</v>
      </c>
      <c r="F575" s="304">
        <f t="shared" ca="1" si="242"/>
        <v>1.6334924305321403</v>
      </c>
      <c r="G575" s="306">
        <f t="shared" ca="1" si="243"/>
        <v>3.7406723017694792</v>
      </c>
      <c r="H575" s="307">
        <f t="shared" ca="1" si="244"/>
        <v>-52.184140190824436</v>
      </c>
      <c r="I575" s="304">
        <f t="shared" ca="1" si="245"/>
        <v>52.318038158218847</v>
      </c>
      <c r="J575" s="306">
        <f t="shared" ca="1" si="246"/>
        <v>150.09587023194715</v>
      </c>
      <c r="K575" s="307">
        <f t="shared" ca="1" si="247"/>
        <v>-4.0239880248519606</v>
      </c>
      <c r="L575" s="304">
        <f t="shared" ca="1" si="232"/>
        <v>150.14980099990032</v>
      </c>
      <c r="M575" s="306">
        <f t="shared" ca="1" si="248"/>
        <v>-1.4992365573271524</v>
      </c>
      <c r="N575" s="304">
        <f t="shared" ca="1" si="249"/>
        <v>-85.899927226569133</v>
      </c>
      <c r="P575" s="310">
        <f t="shared" ca="1" si="250"/>
        <v>23</v>
      </c>
      <c r="Q575" s="304">
        <f t="shared" ca="1" si="251"/>
        <v>0</v>
      </c>
      <c r="R575" s="306">
        <f t="shared" ca="1" si="252"/>
        <v>0</v>
      </c>
      <c r="S575" s="307">
        <f t="shared" ca="1" si="253"/>
        <v>0.4270000000000001</v>
      </c>
      <c r="T575" s="304">
        <f t="shared" ca="1" si="233"/>
        <v>4.1888700000000014</v>
      </c>
      <c r="U575" s="311">
        <f t="shared" ca="1" si="234"/>
        <v>0</v>
      </c>
      <c r="V575" s="306">
        <f t="shared" ca="1" si="235"/>
        <v>1.2254930377319408</v>
      </c>
      <c r="W575" s="304">
        <f t="shared" ca="1" si="236"/>
        <v>3.5482461518848694</v>
      </c>
      <c r="Y575" s="314" t="str">
        <f t="shared" ca="1" si="254"/>
        <v/>
      </c>
      <c r="Z575" s="315" t="str">
        <f t="shared" ca="1" si="255"/>
        <v/>
      </c>
      <c r="AA575" s="316" t="str">
        <f t="shared" ca="1" si="256"/>
        <v/>
      </c>
      <c r="AC575" s="310" t="e">
        <f t="shared" ca="1" si="257"/>
        <v>#N/A</v>
      </c>
      <c r="AD575" s="323" t="e">
        <f t="shared" ca="1" si="258"/>
        <v>#N/A</v>
      </c>
      <c r="AE575" s="324" t="e">
        <f t="shared" ca="1" si="237"/>
        <v>#N/A</v>
      </c>
      <c r="AG575" s="306">
        <f t="shared" ca="1" si="259"/>
        <v>1.4752334904837205</v>
      </c>
      <c r="AH575" s="304">
        <f t="shared" ca="1" si="260"/>
        <v>-8.3096587588381379</v>
      </c>
    </row>
    <row r="576" spans="1:34" x14ac:dyDescent="0.3">
      <c r="A576" s="347">
        <f t="shared" ca="1" si="238"/>
        <v>1E-4</v>
      </c>
      <c r="B576" s="304">
        <f t="shared" ca="1" si="239"/>
        <v>16.123099999999909</v>
      </c>
      <c r="D576" s="306">
        <f t="shared" ca="1" si="240"/>
        <v>-0.59413355256247735</v>
      </c>
      <c r="E576" s="307">
        <f t="shared" ca="1" si="241"/>
        <v>-1.5215571486102419</v>
      </c>
      <c r="F576" s="304">
        <f t="shared" ca="1" si="242"/>
        <v>1.6334414084280586</v>
      </c>
      <c r="G576" s="306">
        <f t="shared" ca="1" si="243"/>
        <v>3.7406128884142231</v>
      </c>
      <c r="H576" s="307">
        <f t="shared" ca="1" si="244"/>
        <v>-52.184292346539294</v>
      </c>
      <c r="I576" s="304">
        <f t="shared" ca="1" si="245"/>
        <v>52.318185676589074</v>
      </c>
      <c r="J576" s="306">
        <f t="shared" ca="1" si="246"/>
        <v>150.09587023194715</v>
      </c>
      <c r="K576" s="307">
        <f t="shared" ca="1" si="247"/>
        <v>-4.0292064464788284</v>
      </c>
      <c r="L576" s="304">
        <f t="shared" ca="1" si="232"/>
        <v>150.14994094329128</v>
      </c>
      <c r="M576" s="306">
        <f t="shared" ca="1" si="248"/>
        <v>-1.4992378979744778</v>
      </c>
      <c r="N576" s="304">
        <f t="shared" ca="1" si="249"/>
        <v>-85.900004040002699</v>
      </c>
      <c r="P576" s="310">
        <f t="shared" ca="1" si="250"/>
        <v>23</v>
      </c>
      <c r="Q576" s="304">
        <f t="shared" ca="1" si="251"/>
        <v>0</v>
      </c>
      <c r="R576" s="306">
        <f t="shared" ca="1" si="252"/>
        <v>0</v>
      </c>
      <c r="S576" s="307">
        <f t="shared" ca="1" si="253"/>
        <v>0.4270000000000001</v>
      </c>
      <c r="T576" s="304">
        <f t="shared" ca="1" si="233"/>
        <v>4.1888700000000014</v>
      </c>
      <c r="U576" s="311">
        <f t="shared" ca="1" si="234"/>
        <v>0</v>
      </c>
      <c r="V576" s="306">
        <f t="shared" ca="1" si="235"/>
        <v>1.2254936772460707</v>
      </c>
      <c r="W576" s="304">
        <f t="shared" ca="1" si="236"/>
        <v>3.548268013147811</v>
      </c>
      <c r="Y576" s="314" t="str">
        <f t="shared" ca="1" si="254"/>
        <v/>
      </c>
      <c r="Z576" s="315" t="str">
        <f t="shared" ca="1" si="255"/>
        <v/>
      </c>
      <c r="AA576" s="316" t="str">
        <f t="shared" ca="1" si="256"/>
        <v/>
      </c>
      <c r="AC576" s="310" t="e">
        <f t="shared" ca="1" si="257"/>
        <v>#N/A</v>
      </c>
      <c r="AD576" s="323" t="e">
        <f t="shared" ca="1" si="258"/>
        <v>#N/A</v>
      </c>
      <c r="AE576" s="324" t="e">
        <f t="shared" ca="1" si="237"/>
        <v>#N/A</v>
      </c>
      <c r="AG576" s="306">
        <f t="shared" ca="1" si="259"/>
        <v>1.4751832321082823</v>
      </c>
      <c r="AH576" s="304">
        <f t="shared" ca="1" si="260"/>
        <v>-8.3097099575758051</v>
      </c>
    </row>
    <row r="577" spans="1:34" x14ac:dyDescent="0.3">
      <c r="A577" s="347">
        <f t="shared" ca="1" si="238"/>
        <v>1E-4</v>
      </c>
      <c r="B577" s="304">
        <f t="shared" ca="1" si="239"/>
        <v>16.123199999999908</v>
      </c>
      <c r="D577" s="306">
        <f t="shared" ca="1" si="240"/>
        <v>-0.59412610115836162</v>
      </c>
      <c r="E577" s="307">
        <f t="shared" ca="1" si="241"/>
        <v>-1.5215052857818758</v>
      </c>
      <c r="F577" s="304">
        <f t="shared" ca="1" si="242"/>
        <v>1.6333903877333869</v>
      </c>
      <c r="G577" s="306">
        <f t="shared" ca="1" si="243"/>
        <v>3.7405534758041075</v>
      </c>
      <c r="H577" s="307">
        <f t="shared" ca="1" si="244"/>
        <v>-52.184444497067872</v>
      </c>
      <c r="I577" s="304">
        <f t="shared" ca="1" si="245"/>
        <v>52.318333189933597</v>
      </c>
      <c r="J577" s="306">
        <f t="shared" ca="1" si="246"/>
        <v>150.09587023194715</v>
      </c>
      <c r="K577" s="307">
        <f t="shared" ca="1" si="247"/>
        <v>-4.0344248833210088</v>
      </c>
      <c r="L577" s="304">
        <f t="shared" ca="1" si="232"/>
        <v>150.15008106832536</v>
      </c>
      <c r="M577" s="306">
        <f t="shared" ca="1" si="248"/>
        <v>-1.4992392385929498</v>
      </c>
      <c r="N577" s="304">
        <f t="shared" ca="1" si="249"/>
        <v>-85.900080851783073</v>
      </c>
      <c r="P577" s="310">
        <f t="shared" ca="1" si="250"/>
        <v>23</v>
      </c>
      <c r="Q577" s="304">
        <f t="shared" ca="1" si="251"/>
        <v>0</v>
      </c>
      <c r="R577" s="306">
        <f t="shared" ca="1" si="252"/>
        <v>0</v>
      </c>
      <c r="S577" s="307">
        <f t="shared" ca="1" si="253"/>
        <v>0.4270000000000001</v>
      </c>
      <c r="T577" s="304">
        <f t="shared" ca="1" si="233"/>
        <v>4.1888700000000014</v>
      </c>
      <c r="U577" s="311">
        <f t="shared" ca="1" si="234"/>
        <v>0</v>
      </c>
      <c r="V577" s="306">
        <f t="shared" ca="1" si="235"/>
        <v>1.2254943167623993</v>
      </c>
      <c r="W577" s="304">
        <f t="shared" ca="1" si="236"/>
        <v>3.548289873812724</v>
      </c>
      <c r="Y577" s="314" t="str">
        <f t="shared" ca="1" si="254"/>
        <v/>
      </c>
      <c r="Z577" s="315" t="str">
        <f t="shared" ca="1" si="255"/>
        <v/>
      </c>
      <c r="AA577" s="316" t="str">
        <f t="shared" ca="1" si="256"/>
        <v/>
      </c>
      <c r="AC577" s="310" t="e">
        <f t="shared" ca="1" si="257"/>
        <v>#N/A</v>
      </c>
      <c r="AD577" s="323" t="e">
        <f t="shared" ca="1" si="258"/>
        <v>#N/A</v>
      </c>
      <c r="AE577" s="324" t="e">
        <f t="shared" ca="1" si="237"/>
        <v>#N/A</v>
      </c>
      <c r="AG577" s="306">
        <f t="shared" ca="1" si="259"/>
        <v>1.4751329750955833</v>
      </c>
      <c r="AH577" s="304">
        <f t="shared" ca="1" si="260"/>
        <v>-8.3097611549129038</v>
      </c>
    </row>
    <row r="578" spans="1:34" x14ac:dyDescent="0.3">
      <c r="A578" s="347">
        <f t="shared" ca="1" si="238"/>
        <v>1E-4</v>
      </c>
      <c r="B578" s="304">
        <f t="shared" ca="1" si="239"/>
        <v>16.123299999999908</v>
      </c>
      <c r="D578" s="306">
        <f t="shared" ca="1" si="240"/>
        <v>-0.59411864975527418</v>
      </c>
      <c r="E578" s="307">
        <f t="shared" ca="1" si="241"/>
        <v>-1.5214534243726821</v>
      </c>
      <c r="F578" s="304">
        <f t="shared" ca="1" si="242"/>
        <v>1.6333393684480855</v>
      </c>
      <c r="G578" s="306">
        <f t="shared" ca="1" si="243"/>
        <v>3.7404940639391318</v>
      </c>
      <c r="H578" s="307">
        <f t="shared" ca="1" si="244"/>
        <v>-52.184596642410312</v>
      </c>
      <c r="I578" s="304">
        <f t="shared" ca="1" si="245"/>
        <v>52.318480698252557</v>
      </c>
      <c r="J578" s="306">
        <f t="shared" ca="1" si="246"/>
        <v>150.09587023194715</v>
      </c>
      <c r="K578" s="307">
        <f t="shared" ca="1" si="247"/>
        <v>-4.039643335377983</v>
      </c>
      <c r="L578" s="304">
        <f t="shared" ca="1" si="232"/>
        <v>150.15022137500358</v>
      </c>
      <c r="M578" s="306">
        <f t="shared" ca="1" si="248"/>
        <v>-1.4992405791825689</v>
      </c>
      <c r="N578" s="304">
        <f t="shared" ca="1" si="249"/>
        <v>-85.900157661910313</v>
      </c>
      <c r="P578" s="310">
        <f t="shared" ca="1" si="250"/>
        <v>23</v>
      </c>
      <c r="Q578" s="304">
        <f t="shared" ca="1" si="251"/>
        <v>0</v>
      </c>
      <c r="R578" s="306">
        <f t="shared" ca="1" si="252"/>
        <v>0</v>
      </c>
      <c r="S578" s="307">
        <f t="shared" ca="1" si="253"/>
        <v>0.4270000000000001</v>
      </c>
      <c r="T578" s="304">
        <f t="shared" ca="1" si="233"/>
        <v>4.1888700000000014</v>
      </c>
      <c r="U578" s="311">
        <f t="shared" ca="1" si="234"/>
        <v>0</v>
      </c>
      <c r="V578" s="306">
        <f t="shared" ca="1" si="235"/>
        <v>1.2254949562809261</v>
      </c>
      <c r="W578" s="304">
        <f t="shared" ca="1" si="236"/>
        <v>3.5483117338796202</v>
      </c>
      <c r="Y578" s="314" t="str">
        <f t="shared" ca="1" si="254"/>
        <v/>
      </c>
      <c r="Z578" s="315" t="str">
        <f t="shared" ca="1" si="255"/>
        <v/>
      </c>
      <c r="AA578" s="316" t="str">
        <f t="shared" ca="1" si="256"/>
        <v/>
      </c>
      <c r="AC578" s="310" t="e">
        <f t="shared" ca="1" si="257"/>
        <v>#N/A</v>
      </c>
      <c r="AD578" s="323" t="e">
        <f t="shared" ca="1" si="258"/>
        <v>#N/A</v>
      </c>
      <c r="AE578" s="324" t="e">
        <f t="shared" ca="1" si="237"/>
        <v>#N/A</v>
      </c>
      <c r="AG578" s="306">
        <f t="shared" ca="1" si="259"/>
        <v>1.4750827194455933</v>
      </c>
      <c r="AH578" s="304">
        <f t="shared" ca="1" si="260"/>
        <v>-8.3098123508494695</v>
      </c>
    </row>
    <row r="579" spans="1:34" x14ac:dyDescent="0.3">
      <c r="A579" s="347">
        <f t="shared" ca="1" si="238"/>
        <v>1E-4</v>
      </c>
      <c r="B579" s="304">
        <f t="shared" ca="1" si="239"/>
        <v>16.123399999999908</v>
      </c>
      <c r="D579" s="306">
        <f t="shared" ca="1" si="240"/>
        <v>-0.5941111983532229</v>
      </c>
      <c r="E579" s="307">
        <f t="shared" ca="1" si="241"/>
        <v>-1.5214015643826375</v>
      </c>
      <c r="F579" s="304">
        <f t="shared" ca="1" si="242"/>
        <v>1.6332883505721332</v>
      </c>
      <c r="G579" s="306">
        <f t="shared" ca="1" si="243"/>
        <v>3.7404346528192964</v>
      </c>
      <c r="H579" s="307">
        <f t="shared" ca="1" si="244"/>
        <v>-52.18474878256675</v>
      </c>
      <c r="I579" s="304">
        <f t="shared" ca="1" si="245"/>
        <v>52.318628201546083</v>
      </c>
      <c r="J579" s="306">
        <f t="shared" ca="1" si="246"/>
        <v>150.09587023194715</v>
      </c>
      <c r="K579" s="307">
        <f t="shared" ca="1" si="247"/>
        <v>-4.0448618026492316</v>
      </c>
      <c r="L579" s="304">
        <f t="shared" ca="1" si="232"/>
        <v>150.15036186332702</v>
      </c>
      <c r="M579" s="306">
        <f t="shared" ca="1" si="248"/>
        <v>-1.4992419197433362</v>
      </c>
      <c r="N579" s="304">
        <f t="shared" ca="1" si="249"/>
        <v>-85.900234470384461</v>
      </c>
      <c r="P579" s="310">
        <f t="shared" ca="1" si="250"/>
        <v>23</v>
      </c>
      <c r="Q579" s="304">
        <f t="shared" ca="1" si="251"/>
        <v>0</v>
      </c>
      <c r="R579" s="306">
        <f t="shared" ca="1" si="252"/>
        <v>0</v>
      </c>
      <c r="S579" s="307">
        <f t="shared" ca="1" si="253"/>
        <v>0.4270000000000001</v>
      </c>
      <c r="T579" s="304">
        <f t="shared" ca="1" si="233"/>
        <v>4.1888700000000014</v>
      </c>
      <c r="U579" s="311">
        <f t="shared" ca="1" si="234"/>
        <v>0</v>
      </c>
      <c r="V579" s="306">
        <f t="shared" ca="1" si="235"/>
        <v>1.2254955958016509</v>
      </c>
      <c r="W579" s="304">
        <f t="shared" ca="1" si="236"/>
        <v>3.5483335933485098</v>
      </c>
      <c r="Y579" s="314" t="str">
        <f t="shared" ca="1" si="254"/>
        <v/>
      </c>
      <c r="Z579" s="315" t="str">
        <f t="shared" ca="1" si="255"/>
        <v/>
      </c>
      <c r="AA579" s="316" t="str">
        <f t="shared" ca="1" si="256"/>
        <v/>
      </c>
      <c r="AC579" s="310" t="e">
        <f t="shared" ca="1" si="257"/>
        <v>#N/A</v>
      </c>
      <c r="AD579" s="323" t="e">
        <f t="shared" ca="1" si="258"/>
        <v>#N/A</v>
      </c>
      <c r="AE579" s="324" t="e">
        <f t="shared" ca="1" si="237"/>
        <v>#N/A</v>
      </c>
      <c r="AG579" s="306">
        <f t="shared" ca="1" si="259"/>
        <v>1.4750324651582911</v>
      </c>
      <c r="AH579" s="304">
        <f t="shared" ca="1" si="260"/>
        <v>-8.3098635453855252</v>
      </c>
    </row>
    <row r="580" spans="1:34" x14ac:dyDescent="0.3">
      <c r="A580" s="347">
        <f t="shared" ca="1" si="238"/>
        <v>1E-4</v>
      </c>
      <c r="B580" s="304">
        <f t="shared" ca="1" si="239"/>
        <v>16.123499999999908</v>
      </c>
      <c r="D580" s="306">
        <f t="shared" ca="1" si="240"/>
        <v>-0.5941037469522108</v>
      </c>
      <c r="E580" s="307">
        <f t="shared" ca="1" si="241"/>
        <v>-1.5213497058117174</v>
      </c>
      <c r="F580" s="304">
        <f t="shared" ca="1" si="242"/>
        <v>1.6332373341055046</v>
      </c>
      <c r="G580" s="306">
        <f t="shared" ca="1" si="243"/>
        <v>3.7403752424446011</v>
      </c>
      <c r="H580" s="307">
        <f t="shared" ca="1" si="244"/>
        <v>-52.184900917537334</v>
      </c>
      <c r="I580" s="304">
        <f t="shared" ca="1" si="245"/>
        <v>52.318775699814324</v>
      </c>
      <c r="J580" s="306">
        <f t="shared" ca="1" si="246"/>
        <v>150.09587023194715</v>
      </c>
      <c r="K580" s="307">
        <f t="shared" ca="1" si="247"/>
        <v>-4.0500802851342366</v>
      </c>
      <c r="L580" s="304">
        <f t="shared" ref="L580:L643" ca="1" si="261">SQRT(pos_x^2+pos_z^2)</f>
        <v>150.15050253329673</v>
      </c>
      <c r="M580" s="306">
        <f t="shared" ca="1" si="248"/>
        <v>-1.4992432602752523</v>
      </c>
      <c r="N580" s="304">
        <f t="shared" ca="1" si="249"/>
        <v>-85.900311277205546</v>
      </c>
      <c r="P580" s="310">
        <f t="shared" ca="1" si="250"/>
        <v>23</v>
      </c>
      <c r="Q580" s="304">
        <f t="shared" ca="1" si="251"/>
        <v>0</v>
      </c>
      <c r="R580" s="306">
        <f t="shared" ca="1" si="252"/>
        <v>0</v>
      </c>
      <c r="S580" s="307">
        <f t="shared" ca="1" si="253"/>
        <v>0.4270000000000001</v>
      </c>
      <c r="T580" s="304">
        <f t="shared" ref="T580:T643" ca="1" si="262">m*g</f>
        <v>4.1888700000000014</v>
      </c>
      <c r="U580" s="311">
        <f t="shared" ref="U580:U643" ca="1" si="263">IF(pos_xz&lt;L_rampe,Poids*COS(Beta),0)</f>
        <v>0</v>
      </c>
      <c r="V580" s="306">
        <f t="shared" ref="V580:V643" ca="1" si="264">Rho_moyen*(20000-Alt_rampe-pos_z)/(20000+Alt_rampe+pos_z)</f>
        <v>1.2254962353245742</v>
      </c>
      <c r="W580" s="304">
        <f t="shared" ref="W580:W643" ca="1" si="265">1/2*Rho*Sref*Cx*vit_xz^2</f>
        <v>3.5483554522194072</v>
      </c>
      <c r="Y580" s="314" t="str">
        <f t="shared" ca="1" si="254"/>
        <v/>
      </c>
      <c r="Z580" s="315" t="str">
        <f t="shared" ca="1" si="255"/>
        <v/>
      </c>
      <c r="AA580" s="316" t="str">
        <f t="shared" ca="1" si="256"/>
        <v/>
      </c>
      <c r="AC580" s="310" t="e">
        <f t="shared" ca="1" si="257"/>
        <v>#N/A</v>
      </c>
      <c r="AD580" s="323" t="e">
        <f t="shared" ca="1" si="258"/>
        <v>#N/A</v>
      </c>
      <c r="AE580" s="324" t="e">
        <f t="shared" ref="AE580:AE643" ca="1" si="266">IF(t&lt;T_para, pos_z, NA())</f>
        <v>#N/A</v>
      </c>
      <c r="AG580" s="306">
        <f t="shared" ca="1" si="259"/>
        <v>1.4749822122336553</v>
      </c>
      <c r="AH580" s="304">
        <f t="shared" ca="1" si="260"/>
        <v>-8.3099147385210976</v>
      </c>
    </row>
    <row r="581" spans="1:34" x14ac:dyDescent="0.3">
      <c r="A581" s="347">
        <f t="shared" ref="A581:A644" ca="1" si="267">IF(B580+0.01&lt;=T_ini+ROUNDUP(Temps_fin_propu,0), 0.01, IF(K580&gt;0, 0.1, 0.0001))</f>
        <v>1E-4</v>
      </c>
      <c r="B581" s="304">
        <f t="shared" ref="B581:B644" ca="1" si="268">B580+pas</f>
        <v>16.123599999999907</v>
      </c>
      <c r="D581" s="306">
        <f t="shared" ref="D581:D644" ca="1" si="269">IF(AND(L580&lt;L_rampe,Poussee&lt;Poids*SIN(M580)),0,(-W580+Poussee)/m*COS(M580)-U580/m*SIN(M580))</f>
        <v>-0.59409629555224475</v>
      </c>
      <c r="E581" s="307">
        <f t="shared" ref="E581:E644" ca="1" si="270">IF(AND(L580&lt;L_rampe,Poussee&lt;Poids*SIN(M580)),0,(-W580+Poussee)/m*SIN(M580)+U580/m*COS(M580)-Poids/m)</f>
        <v>-1.521297848659886</v>
      </c>
      <c r="F581" s="304">
        <f t="shared" ref="F581:F644" ca="1" si="271">SQRT(acc_x^2+acc_z^2)</f>
        <v>1.6331863190481659</v>
      </c>
      <c r="G581" s="306">
        <f t="shared" ref="G581:G644" ca="1" si="272">G580+acc_x*pas</f>
        <v>3.7403158328150456</v>
      </c>
      <c r="H581" s="307">
        <f t="shared" ref="H581:H644" ca="1" si="273">H580+acc_z*pas</f>
        <v>-52.185053047322199</v>
      </c>
      <c r="I581" s="304">
        <f t="shared" ref="I581:I644" ca="1" si="274">SQRT(vit_x^2+vit_z^2)</f>
        <v>52.318923193057394</v>
      </c>
      <c r="J581" s="306">
        <f t="shared" ref="J581:J644" ca="1" si="275">J580+0.5*(vit_x+G580)*pas*(K580&gt;=0)</f>
        <v>150.09587023194715</v>
      </c>
      <c r="K581" s="307">
        <f t="shared" ref="K581:K644" ca="1" si="276">K580+0.5*(vit_z+H580)*pas</f>
        <v>-4.0552987828324794</v>
      </c>
      <c r="L581" s="304">
        <f t="shared" ca="1" si="261"/>
        <v>150.15064338491379</v>
      </c>
      <c r="M581" s="306">
        <f t="shared" ref="M581:M644" ca="1" si="277">IF(AND(L580&gt;L_rampe,G581&gt;0),ATAN2(G581,H581),$M$4)</f>
        <v>-1.4992446007783182</v>
      </c>
      <c r="N581" s="304">
        <f t="shared" ref="N581:N644" ca="1" si="278">DEGREES(Beta)</f>
        <v>-85.900388082373652</v>
      </c>
      <c r="P581" s="310">
        <f t="shared" ref="P581:P644" ca="1" si="279">MATCH(t-pas/2-T_ini,CdP_t)</f>
        <v>23</v>
      </c>
      <c r="Q581" s="304">
        <f t="shared" ref="Q581:Q644" ca="1" si="280">(INDEX(CdP,2,i_P+1)-INDEX(CdP,2,i_P+0))/(INDEX(CdP,1,i_P+1)-INDEX(CdP,1,i_P+0))*(t-pas/2-T_ini-INDEX(CdP,1,i_P+0))+INDEX(CdP,2,i_P+0)</f>
        <v>0</v>
      </c>
      <c r="R581" s="306">
        <f t="shared" ref="R581:R644" ca="1" si="281">Poussee/(g*ISP)</f>
        <v>0</v>
      </c>
      <c r="S581" s="307">
        <f t="shared" ref="S581:S644" ca="1" si="282">S580-Débit*pas</f>
        <v>0.4270000000000001</v>
      </c>
      <c r="T581" s="304">
        <f t="shared" ca="1" si="262"/>
        <v>4.1888700000000014</v>
      </c>
      <c r="U581" s="311">
        <f t="shared" ca="1" si="263"/>
        <v>0</v>
      </c>
      <c r="V581" s="306">
        <f t="shared" ca="1" si="264"/>
        <v>1.2254968748496959</v>
      </c>
      <c r="W581" s="304">
        <f t="shared" ca="1" si="265"/>
        <v>3.5483773104923215</v>
      </c>
      <c r="Y581" s="314" t="str">
        <f t="shared" ref="Y581:Y644" ca="1" si="283">IF(AND(pos_z&lt;=0,K580&gt;0),"Impact balistique","") &amp; IF(AND(H582&lt;0,vit_z&gt;=0),"Apogée","") &amp; IF(AND(Poussee=0,Q580&gt;0),"Fin de propulsion","") &amp; IF(AND(L582&gt;L_rampe,pos_xz&lt;=L_rampe),"Sortie de rampe","")</f>
        <v/>
      </c>
      <c r="Z581" s="315" t="str">
        <f t="shared" ref="Z581:Z644" ca="1" si="284">IF(ABS(t-T_para)&lt;pas/2,"Para","")</f>
        <v/>
      </c>
      <c r="AA581" s="316" t="str">
        <f t="shared" ref="AA581:AA644" ca="1" si="285">IF(ABS(t-T_satellite)&lt;pas/2,"Satellite","")</f>
        <v/>
      </c>
      <c r="AC581" s="310" t="e">
        <f t="shared" ref="AC581:AC644" ca="1" si="286">IF(ABS(t-ROUND(t,0))&lt;0.001,t,NA())</f>
        <v>#N/A</v>
      </c>
      <c r="AD581" s="323" t="e">
        <f t="shared" ref="AD581:AD644" ca="1" si="287">IF(ABS(t-ROUND(t,0))&lt;0.001,pos_x,NA())</f>
        <v>#N/A</v>
      </c>
      <c r="AE581" s="324" t="e">
        <f t="shared" ca="1" si="266"/>
        <v>#N/A</v>
      </c>
      <c r="AG581" s="306">
        <f t="shared" ref="AG581:AG644" ca="1" si="288">IF(AND(L580&lt;L_rampe,Poussee&lt;Poids*SIN(M580)),0,(-W580+Poussee)/m-Poids*SIN(M580)/m)</f>
        <v>1.4749319606716469</v>
      </c>
      <c r="AH581" s="304">
        <f t="shared" ref="AH581:AH644" ca="1" si="289">IF(AND(L580&lt;L_rampe,Poussee&lt;Poids*SIN(M580)), g*SIN(M580), (-W580+Poussee)/m)</f>
        <v>-8.3099659302562205</v>
      </c>
    </row>
    <row r="582" spans="1:34" x14ac:dyDescent="0.3">
      <c r="A582" s="347">
        <f t="shared" ca="1" si="267"/>
        <v>1E-4</v>
      </c>
      <c r="B582" s="304">
        <f t="shared" ca="1" si="268"/>
        <v>16.123699999999907</v>
      </c>
      <c r="D582" s="306">
        <f t="shared" ca="1" si="269"/>
        <v>-0.59408884415332908</v>
      </c>
      <c r="E582" s="307">
        <f t="shared" ca="1" si="270"/>
        <v>-1.5212459929271223</v>
      </c>
      <c r="F582" s="304">
        <f t="shared" ca="1" si="271"/>
        <v>1.6331353054000959</v>
      </c>
      <c r="G582" s="306">
        <f t="shared" ca="1" si="272"/>
        <v>3.7402564239306302</v>
      </c>
      <c r="H582" s="307">
        <f t="shared" ca="1" si="273"/>
        <v>-52.185205171921496</v>
      </c>
      <c r="I582" s="304">
        <f t="shared" ca="1" si="274"/>
        <v>52.319070681275448</v>
      </c>
      <c r="J582" s="306">
        <f t="shared" ca="1" si="275"/>
        <v>150.09587023194715</v>
      </c>
      <c r="K582" s="307">
        <f t="shared" ca="1" si="276"/>
        <v>-4.0605172957434412</v>
      </c>
      <c r="L582" s="304">
        <f t="shared" ca="1" si="261"/>
        <v>150.15078441817926</v>
      </c>
      <c r="M582" s="306">
        <f t="shared" ca="1" si="277"/>
        <v>-1.4992459412525345</v>
      </c>
      <c r="N582" s="304">
        <f t="shared" ca="1" si="278"/>
        <v>-85.900464885888795</v>
      </c>
      <c r="P582" s="310">
        <f t="shared" ca="1" si="279"/>
        <v>23</v>
      </c>
      <c r="Q582" s="304">
        <f t="shared" ca="1" si="280"/>
        <v>0</v>
      </c>
      <c r="R582" s="306">
        <f t="shared" ca="1" si="281"/>
        <v>0</v>
      </c>
      <c r="S582" s="307">
        <f t="shared" ca="1" si="282"/>
        <v>0.4270000000000001</v>
      </c>
      <c r="T582" s="304">
        <f t="shared" ca="1" si="262"/>
        <v>4.1888700000000014</v>
      </c>
      <c r="U582" s="311">
        <f t="shared" ca="1" si="263"/>
        <v>0</v>
      </c>
      <c r="V582" s="306">
        <f t="shared" ca="1" si="264"/>
        <v>1.2254975143770153</v>
      </c>
      <c r="W582" s="304">
        <f t="shared" ca="1" si="265"/>
        <v>3.5483991681672649</v>
      </c>
      <c r="Y582" s="314" t="str">
        <f t="shared" ca="1" si="283"/>
        <v/>
      </c>
      <c r="Z582" s="315" t="str">
        <f t="shared" ca="1" si="284"/>
        <v/>
      </c>
      <c r="AA582" s="316" t="str">
        <f t="shared" ca="1" si="285"/>
        <v/>
      </c>
      <c r="AC582" s="310" t="e">
        <f t="shared" ca="1" si="286"/>
        <v>#N/A</v>
      </c>
      <c r="AD582" s="323" t="e">
        <f t="shared" ca="1" si="287"/>
        <v>#N/A</v>
      </c>
      <c r="AE582" s="324" t="e">
        <f t="shared" ca="1" si="266"/>
        <v>#N/A</v>
      </c>
      <c r="AG582" s="306">
        <f t="shared" ca="1" si="288"/>
        <v>1.4748817104722516</v>
      </c>
      <c r="AH582" s="304">
        <f t="shared" ca="1" si="289"/>
        <v>-8.3100171205909152</v>
      </c>
    </row>
    <row r="583" spans="1:34" x14ac:dyDescent="0.3">
      <c r="A583" s="347">
        <f t="shared" ca="1" si="267"/>
        <v>1E-4</v>
      </c>
      <c r="B583" s="304">
        <f t="shared" ca="1" si="268"/>
        <v>16.123799999999907</v>
      </c>
      <c r="D583" s="306">
        <f t="shared" ca="1" si="269"/>
        <v>-0.59408139275547034</v>
      </c>
      <c r="E583" s="307">
        <f t="shared" ca="1" si="270"/>
        <v>-1.5211941386133994</v>
      </c>
      <c r="F583" s="304">
        <f t="shared" ca="1" si="271"/>
        <v>1.633084293161269</v>
      </c>
      <c r="G583" s="306">
        <f t="shared" ca="1" si="272"/>
        <v>3.7401970157913547</v>
      </c>
      <c r="H583" s="307">
        <f t="shared" ca="1" si="273"/>
        <v>-52.185357291335357</v>
      </c>
      <c r="I583" s="304">
        <f t="shared" ca="1" si="274"/>
        <v>52.319218164468616</v>
      </c>
      <c r="J583" s="306">
        <f t="shared" ca="1" si="275"/>
        <v>150.09587023194715</v>
      </c>
      <c r="K583" s="307">
        <f t="shared" ca="1" si="276"/>
        <v>-4.0657358238666044</v>
      </c>
      <c r="L583" s="304">
        <f t="shared" ca="1" si="261"/>
        <v>150.15092563309423</v>
      </c>
      <c r="M583" s="306">
        <f t="shared" ca="1" si="277"/>
        <v>-1.4992472816979023</v>
      </c>
      <c r="N583" s="304">
        <f t="shared" ca="1" si="278"/>
        <v>-85.90054168775103</v>
      </c>
      <c r="P583" s="310">
        <f t="shared" ca="1" si="279"/>
        <v>23</v>
      </c>
      <c r="Q583" s="304">
        <f t="shared" ca="1" si="280"/>
        <v>0</v>
      </c>
      <c r="R583" s="306">
        <f t="shared" ca="1" si="281"/>
        <v>0</v>
      </c>
      <c r="S583" s="307">
        <f t="shared" ca="1" si="282"/>
        <v>0.4270000000000001</v>
      </c>
      <c r="T583" s="304">
        <f t="shared" ca="1" si="262"/>
        <v>4.1888700000000014</v>
      </c>
      <c r="U583" s="311">
        <f t="shared" ca="1" si="263"/>
        <v>0</v>
      </c>
      <c r="V583" s="306">
        <f t="shared" ca="1" si="264"/>
        <v>1.225498153906533</v>
      </c>
      <c r="W583" s="304">
        <f t="shared" ca="1" si="265"/>
        <v>3.5484210252442496</v>
      </c>
      <c r="Y583" s="314" t="str">
        <f t="shared" ca="1" si="283"/>
        <v/>
      </c>
      <c r="Z583" s="315" t="str">
        <f t="shared" ca="1" si="284"/>
        <v/>
      </c>
      <c r="AA583" s="316" t="str">
        <f t="shared" ca="1" si="285"/>
        <v/>
      </c>
      <c r="AC583" s="310" t="e">
        <f t="shared" ca="1" si="286"/>
        <v>#N/A</v>
      </c>
      <c r="AD583" s="323" t="e">
        <f t="shared" ca="1" si="287"/>
        <v>#N/A</v>
      </c>
      <c r="AE583" s="324" t="e">
        <f t="shared" ca="1" si="266"/>
        <v>#N/A</v>
      </c>
      <c r="AG583" s="306">
        <f t="shared" ca="1" si="288"/>
        <v>1.474831461635441</v>
      </c>
      <c r="AH583" s="304">
        <f t="shared" ca="1" si="289"/>
        <v>-8.3100683095252084</v>
      </c>
    </row>
    <row r="584" spans="1:34" x14ac:dyDescent="0.3">
      <c r="A584" s="347">
        <f t="shared" ca="1" si="267"/>
        <v>1E-4</v>
      </c>
      <c r="B584" s="304">
        <f t="shared" ca="1" si="268"/>
        <v>16.123899999999907</v>
      </c>
      <c r="D584" s="306">
        <f t="shared" ca="1" si="269"/>
        <v>-0.59407394135867142</v>
      </c>
      <c r="E584" s="307">
        <f t="shared" ca="1" si="270"/>
        <v>-1.5211422857186854</v>
      </c>
      <c r="F584" s="304">
        <f t="shared" ca="1" si="271"/>
        <v>1.6330332823316531</v>
      </c>
      <c r="G584" s="306">
        <f t="shared" ca="1" si="272"/>
        <v>3.7401376083972186</v>
      </c>
      <c r="H584" s="307">
        <f t="shared" ca="1" si="273"/>
        <v>-52.185509405563927</v>
      </c>
      <c r="I584" s="304">
        <f t="shared" ca="1" si="274"/>
        <v>52.319365642637031</v>
      </c>
      <c r="J584" s="306">
        <f t="shared" ca="1" si="275"/>
        <v>150.09587023194715</v>
      </c>
      <c r="K584" s="307">
        <f t="shared" ca="1" si="276"/>
        <v>-4.0709543672014492</v>
      </c>
      <c r="L584" s="304">
        <f t="shared" ca="1" si="261"/>
        <v>150.15106702965969</v>
      </c>
      <c r="M584" s="306">
        <f t="shared" ca="1" si="277"/>
        <v>-1.4992486221144221</v>
      </c>
      <c r="N584" s="304">
        <f t="shared" ca="1" si="278"/>
        <v>-85.900618487960401</v>
      </c>
      <c r="P584" s="310">
        <f t="shared" ca="1" si="279"/>
        <v>23</v>
      </c>
      <c r="Q584" s="304">
        <f t="shared" ca="1" si="280"/>
        <v>0</v>
      </c>
      <c r="R584" s="306">
        <f t="shared" ca="1" si="281"/>
        <v>0</v>
      </c>
      <c r="S584" s="307">
        <f t="shared" ca="1" si="282"/>
        <v>0.4270000000000001</v>
      </c>
      <c r="T584" s="304">
        <f t="shared" ca="1" si="262"/>
        <v>4.1888700000000014</v>
      </c>
      <c r="U584" s="311">
        <f t="shared" ca="1" si="263"/>
        <v>0</v>
      </c>
      <c r="V584" s="306">
        <f t="shared" ca="1" si="264"/>
        <v>1.2254987934382486</v>
      </c>
      <c r="W584" s="304">
        <f t="shared" ca="1" si="265"/>
        <v>3.5484428817232865</v>
      </c>
      <c r="Y584" s="314" t="str">
        <f t="shared" ca="1" si="283"/>
        <v/>
      </c>
      <c r="Z584" s="315" t="str">
        <f t="shared" ca="1" si="284"/>
        <v/>
      </c>
      <c r="AA584" s="316" t="str">
        <f t="shared" ca="1" si="285"/>
        <v/>
      </c>
      <c r="AC584" s="310" t="e">
        <f t="shared" ca="1" si="286"/>
        <v>#N/A</v>
      </c>
      <c r="AD584" s="323" t="e">
        <f t="shared" ca="1" si="287"/>
        <v>#N/A</v>
      </c>
      <c r="AE584" s="324" t="e">
        <f t="shared" ca="1" si="266"/>
        <v>#N/A</v>
      </c>
      <c r="AG584" s="306">
        <f t="shared" ca="1" si="288"/>
        <v>1.4747812141611867</v>
      </c>
      <c r="AH584" s="304">
        <f t="shared" ca="1" si="289"/>
        <v>-8.3101194970591301</v>
      </c>
    </row>
    <row r="585" spans="1:34" x14ac:dyDescent="0.3">
      <c r="A585" s="347">
        <f t="shared" ca="1" si="267"/>
        <v>1E-4</v>
      </c>
      <c r="B585" s="304">
        <f t="shared" ca="1" si="268"/>
        <v>16.123999999999906</v>
      </c>
      <c r="D585" s="306">
        <f t="shared" ca="1" si="269"/>
        <v>-0.59406648996294087</v>
      </c>
      <c r="E585" s="307">
        <f t="shared" ca="1" si="270"/>
        <v>-1.5210904342429554</v>
      </c>
      <c r="F585" s="304">
        <f t="shared" ca="1" si="271"/>
        <v>1.6329822729112253</v>
      </c>
      <c r="G585" s="306">
        <f t="shared" ca="1" si="272"/>
        <v>3.7400782017482221</v>
      </c>
      <c r="H585" s="307">
        <f t="shared" ca="1" si="273"/>
        <v>-52.185661514607354</v>
      </c>
      <c r="I585" s="304">
        <f t="shared" ca="1" si="274"/>
        <v>52.319513115780836</v>
      </c>
      <c r="J585" s="306">
        <f t="shared" ca="1" si="275"/>
        <v>150.09587023194715</v>
      </c>
      <c r="K585" s="307">
        <f t="shared" ca="1" si="276"/>
        <v>-4.0761729257474579</v>
      </c>
      <c r="L585" s="304">
        <f t="shared" ca="1" si="261"/>
        <v>150.15120860787673</v>
      </c>
      <c r="M585" s="306">
        <f t="shared" ca="1" si="277"/>
        <v>-1.4992499625020952</v>
      </c>
      <c r="N585" s="304">
        <f t="shared" ca="1" si="278"/>
        <v>-85.900695286516992</v>
      </c>
      <c r="P585" s="310">
        <f t="shared" ca="1" si="279"/>
        <v>23</v>
      </c>
      <c r="Q585" s="304">
        <f t="shared" ca="1" si="280"/>
        <v>0</v>
      </c>
      <c r="R585" s="306">
        <f t="shared" ca="1" si="281"/>
        <v>0</v>
      </c>
      <c r="S585" s="307">
        <f t="shared" ca="1" si="282"/>
        <v>0.4270000000000001</v>
      </c>
      <c r="T585" s="304">
        <f t="shared" ca="1" si="262"/>
        <v>4.1888700000000014</v>
      </c>
      <c r="U585" s="311">
        <f t="shared" ca="1" si="263"/>
        <v>0</v>
      </c>
      <c r="V585" s="306">
        <f t="shared" ca="1" si="264"/>
        <v>1.225499432972162</v>
      </c>
      <c r="W585" s="304">
        <f t="shared" ca="1" si="265"/>
        <v>3.5484647376043874</v>
      </c>
      <c r="Y585" s="314" t="str">
        <f t="shared" ca="1" si="283"/>
        <v/>
      </c>
      <c r="Z585" s="315" t="str">
        <f t="shared" ca="1" si="284"/>
        <v/>
      </c>
      <c r="AA585" s="316" t="str">
        <f t="shared" ca="1" si="285"/>
        <v/>
      </c>
      <c r="AC585" s="310" t="e">
        <f t="shared" ca="1" si="286"/>
        <v>#N/A</v>
      </c>
      <c r="AD585" s="323" t="e">
        <f t="shared" ca="1" si="287"/>
        <v>#N/A</v>
      </c>
      <c r="AE585" s="324" t="e">
        <f t="shared" ca="1" si="266"/>
        <v>#N/A</v>
      </c>
      <c r="AG585" s="306">
        <f t="shared" ca="1" si="288"/>
        <v>1.4747309680494656</v>
      </c>
      <c r="AH585" s="304">
        <f t="shared" ca="1" si="289"/>
        <v>-8.3101706831927071</v>
      </c>
    </row>
    <row r="586" spans="1:34" x14ac:dyDescent="0.3">
      <c r="A586" s="347">
        <f t="shared" ca="1" si="267"/>
        <v>1E-4</v>
      </c>
      <c r="B586" s="304">
        <f t="shared" ca="1" si="268"/>
        <v>16.124099999999906</v>
      </c>
      <c r="D586" s="306">
        <f t="shared" ca="1" si="269"/>
        <v>-0.59405903856827935</v>
      </c>
      <c r="E586" s="307">
        <f t="shared" ca="1" si="270"/>
        <v>-1.5210385841861811</v>
      </c>
      <c r="F586" s="304">
        <f t="shared" ca="1" si="271"/>
        <v>1.6329312648999561</v>
      </c>
      <c r="G586" s="306">
        <f t="shared" ca="1" si="272"/>
        <v>3.7400187958443651</v>
      </c>
      <c r="H586" s="307">
        <f t="shared" ca="1" si="273"/>
        <v>-52.185813618465772</v>
      </c>
      <c r="I586" s="304">
        <f t="shared" ca="1" si="274"/>
        <v>52.319660583900173</v>
      </c>
      <c r="J586" s="306">
        <f t="shared" ca="1" si="275"/>
        <v>150.09587023194715</v>
      </c>
      <c r="K586" s="307">
        <f t="shared" ca="1" si="276"/>
        <v>-4.0813914995041118</v>
      </c>
      <c r="L586" s="304">
        <f t="shared" ca="1" si="261"/>
        <v>150.1513503677464</v>
      </c>
      <c r="M586" s="306">
        <f t="shared" ca="1" si="277"/>
        <v>-1.4992513028609218</v>
      </c>
      <c r="N586" s="304">
        <f t="shared" ca="1" si="278"/>
        <v>-85.90077208342079</v>
      </c>
      <c r="P586" s="310">
        <f t="shared" ca="1" si="279"/>
        <v>23</v>
      </c>
      <c r="Q586" s="304">
        <f t="shared" ca="1" si="280"/>
        <v>0</v>
      </c>
      <c r="R586" s="306">
        <f t="shared" ca="1" si="281"/>
        <v>0</v>
      </c>
      <c r="S586" s="307">
        <f t="shared" ca="1" si="282"/>
        <v>0.4270000000000001</v>
      </c>
      <c r="T586" s="304">
        <f t="shared" ca="1" si="262"/>
        <v>4.1888700000000014</v>
      </c>
      <c r="U586" s="311">
        <f t="shared" ca="1" si="263"/>
        <v>0</v>
      </c>
      <c r="V586" s="306">
        <f t="shared" ca="1" si="264"/>
        <v>1.2255000725082736</v>
      </c>
      <c r="W586" s="304">
        <f t="shared" ca="1" si="265"/>
        <v>3.5484865928875675</v>
      </c>
      <c r="Y586" s="314" t="str">
        <f t="shared" ca="1" si="283"/>
        <v/>
      </c>
      <c r="Z586" s="315" t="str">
        <f t="shared" ca="1" si="284"/>
        <v/>
      </c>
      <c r="AA586" s="316" t="str">
        <f t="shared" ca="1" si="285"/>
        <v/>
      </c>
      <c r="AC586" s="310" t="e">
        <f t="shared" ca="1" si="286"/>
        <v>#N/A</v>
      </c>
      <c r="AD586" s="323" t="e">
        <f t="shared" ca="1" si="287"/>
        <v>#N/A</v>
      </c>
      <c r="AE586" s="324" t="e">
        <f t="shared" ca="1" si="266"/>
        <v>#N/A</v>
      </c>
      <c r="AG586" s="306">
        <f t="shared" ca="1" si="288"/>
        <v>1.4746807233002581</v>
      </c>
      <c r="AH586" s="304">
        <f t="shared" ca="1" si="289"/>
        <v>-8.3102218679259643</v>
      </c>
    </row>
    <row r="587" spans="1:34" x14ac:dyDescent="0.3">
      <c r="A587" s="347">
        <f t="shared" ca="1" si="267"/>
        <v>1E-4</v>
      </c>
      <c r="B587" s="304">
        <f t="shared" ca="1" si="268"/>
        <v>16.124199999999906</v>
      </c>
      <c r="D587" s="306">
        <f t="shared" ca="1" si="269"/>
        <v>-0.59405158717469786</v>
      </c>
      <c r="E587" s="307">
        <f t="shared" ca="1" si="270"/>
        <v>-1.5209867355483286</v>
      </c>
      <c r="F587" s="304">
        <f t="shared" ca="1" si="271"/>
        <v>1.632880258297815</v>
      </c>
      <c r="G587" s="306">
        <f t="shared" ca="1" si="272"/>
        <v>3.7399593906856476</v>
      </c>
      <c r="H587" s="307">
        <f t="shared" ca="1" si="273"/>
        <v>-52.185965717139325</v>
      </c>
      <c r="I587" s="304">
        <f t="shared" ca="1" si="274"/>
        <v>52.319808046995149</v>
      </c>
      <c r="J587" s="306">
        <f t="shared" ca="1" si="275"/>
        <v>150.09587023194715</v>
      </c>
      <c r="K587" s="307">
        <f t="shared" ca="1" si="276"/>
        <v>-4.0866100884708922</v>
      </c>
      <c r="L587" s="304">
        <f t="shared" ca="1" si="261"/>
        <v>150.1514923092698</v>
      </c>
      <c r="M587" s="306">
        <f t="shared" ca="1" si="277"/>
        <v>-1.4992526431909032</v>
      </c>
      <c r="N587" s="304">
        <f t="shared" ca="1" si="278"/>
        <v>-85.90084887867188</v>
      </c>
      <c r="P587" s="310">
        <f t="shared" ca="1" si="279"/>
        <v>23</v>
      </c>
      <c r="Q587" s="304">
        <f t="shared" ca="1" si="280"/>
        <v>0</v>
      </c>
      <c r="R587" s="306">
        <f t="shared" ca="1" si="281"/>
        <v>0</v>
      </c>
      <c r="S587" s="307">
        <f t="shared" ca="1" si="282"/>
        <v>0.4270000000000001</v>
      </c>
      <c r="T587" s="304">
        <f t="shared" ca="1" si="262"/>
        <v>4.1888700000000014</v>
      </c>
      <c r="U587" s="311">
        <f t="shared" ca="1" si="263"/>
        <v>0</v>
      </c>
      <c r="V587" s="306">
        <f t="shared" ca="1" si="264"/>
        <v>1.2255007120465828</v>
      </c>
      <c r="W587" s="304">
        <f t="shared" ca="1" si="265"/>
        <v>3.5485084475728321</v>
      </c>
      <c r="Y587" s="314" t="str">
        <f t="shared" ca="1" si="283"/>
        <v/>
      </c>
      <c r="Z587" s="315" t="str">
        <f t="shared" ca="1" si="284"/>
        <v/>
      </c>
      <c r="AA587" s="316" t="str">
        <f t="shared" ca="1" si="285"/>
        <v/>
      </c>
      <c r="AC587" s="310" t="e">
        <f t="shared" ca="1" si="286"/>
        <v>#N/A</v>
      </c>
      <c r="AD587" s="323" t="e">
        <f t="shared" ca="1" si="287"/>
        <v>#N/A</v>
      </c>
      <c r="AE587" s="324" t="e">
        <f t="shared" ca="1" si="266"/>
        <v>#N/A</v>
      </c>
      <c r="AG587" s="306">
        <f t="shared" ca="1" si="288"/>
        <v>1.4746304799135199</v>
      </c>
      <c r="AH587" s="304">
        <f t="shared" ca="1" si="289"/>
        <v>-8.3102730512589389</v>
      </c>
    </row>
    <row r="588" spans="1:34" x14ac:dyDescent="0.3">
      <c r="A588" s="347">
        <f t="shared" ca="1" si="267"/>
        <v>1E-4</v>
      </c>
      <c r="B588" s="304">
        <f t="shared" ca="1" si="268"/>
        <v>16.124299999999906</v>
      </c>
      <c r="D588" s="306">
        <f t="shared" ca="1" si="269"/>
        <v>-0.59404413578219628</v>
      </c>
      <c r="E588" s="307">
        <f t="shared" ca="1" si="270"/>
        <v>-1.5209348883293821</v>
      </c>
      <c r="F588" s="304">
        <f t="shared" ca="1" si="271"/>
        <v>1.6328292531047839</v>
      </c>
      <c r="G588" s="306">
        <f t="shared" ca="1" si="272"/>
        <v>3.7398999862720692</v>
      </c>
      <c r="H588" s="307">
        <f t="shared" ca="1" si="273"/>
        <v>-52.186117810628161</v>
      </c>
      <c r="I588" s="304">
        <f t="shared" ca="1" si="274"/>
        <v>52.319955505065941</v>
      </c>
      <c r="J588" s="306">
        <f t="shared" ca="1" si="275"/>
        <v>150.09587023194715</v>
      </c>
      <c r="K588" s="307">
        <f t="shared" ca="1" si="276"/>
        <v>-4.0918286926472804</v>
      </c>
      <c r="L588" s="304">
        <f t="shared" ca="1" si="261"/>
        <v>150.15163443244796</v>
      </c>
      <c r="M588" s="306">
        <f t="shared" ca="1" si="277"/>
        <v>-1.4992539834920404</v>
      </c>
      <c r="N588" s="304">
        <f t="shared" ca="1" si="278"/>
        <v>-85.900925672270319</v>
      </c>
      <c r="P588" s="310">
        <f t="shared" ca="1" si="279"/>
        <v>23</v>
      </c>
      <c r="Q588" s="304">
        <f t="shared" ca="1" si="280"/>
        <v>0</v>
      </c>
      <c r="R588" s="306">
        <f t="shared" ca="1" si="281"/>
        <v>0</v>
      </c>
      <c r="S588" s="307">
        <f t="shared" ca="1" si="282"/>
        <v>0.4270000000000001</v>
      </c>
      <c r="T588" s="304">
        <f t="shared" ca="1" si="262"/>
        <v>4.1888700000000014</v>
      </c>
      <c r="U588" s="311">
        <f t="shared" ca="1" si="263"/>
        <v>0</v>
      </c>
      <c r="V588" s="306">
        <f t="shared" ca="1" si="264"/>
        <v>1.2255013515870896</v>
      </c>
      <c r="W588" s="304">
        <f t="shared" ca="1" si="265"/>
        <v>3.5485303016601977</v>
      </c>
      <c r="Y588" s="314" t="str">
        <f t="shared" ca="1" si="283"/>
        <v/>
      </c>
      <c r="Z588" s="315" t="str">
        <f t="shared" ca="1" si="284"/>
        <v/>
      </c>
      <c r="AA588" s="316" t="str">
        <f t="shared" ca="1" si="285"/>
        <v/>
      </c>
      <c r="AC588" s="310" t="e">
        <f t="shared" ca="1" si="286"/>
        <v>#N/A</v>
      </c>
      <c r="AD588" s="323" t="e">
        <f t="shared" ca="1" si="287"/>
        <v>#N/A</v>
      </c>
      <c r="AE588" s="324" t="e">
        <f t="shared" ca="1" si="266"/>
        <v>#N/A</v>
      </c>
      <c r="AG588" s="306">
        <f t="shared" ca="1" si="288"/>
        <v>1.4745802378892492</v>
      </c>
      <c r="AH588" s="304">
        <f t="shared" ca="1" si="289"/>
        <v>-8.3103242331916416</v>
      </c>
    </row>
    <row r="589" spans="1:34" x14ac:dyDescent="0.3">
      <c r="A589" s="347">
        <f t="shared" ca="1" si="267"/>
        <v>1E-4</v>
      </c>
      <c r="B589" s="304">
        <f t="shared" ca="1" si="268"/>
        <v>16.124399999999905</v>
      </c>
      <c r="D589" s="306">
        <f t="shared" ca="1" si="269"/>
        <v>-0.59403668439078028</v>
      </c>
      <c r="E589" s="307">
        <f t="shared" ca="1" si="270"/>
        <v>-1.5208830425293041</v>
      </c>
      <c r="F589" s="304">
        <f t="shared" ca="1" si="271"/>
        <v>1.6327782493208269</v>
      </c>
      <c r="G589" s="306">
        <f t="shared" ca="1" si="272"/>
        <v>3.7398405826036303</v>
      </c>
      <c r="H589" s="307">
        <f t="shared" ca="1" si="273"/>
        <v>-52.186269898932416</v>
      </c>
      <c r="I589" s="304">
        <f t="shared" ca="1" si="274"/>
        <v>52.320102958112656</v>
      </c>
      <c r="J589" s="306">
        <f t="shared" ca="1" si="275"/>
        <v>150.09587023194715</v>
      </c>
      <c r="K589" s="307">
        <f t="shared" ca="1" si="276"/>
        <v>-4.0970473120327586</v>
      </c>
      <c r="L589" s="304">
        <f t="shared" ca="1" si="261"/>
        <v>150.15177673728189</v>
      </c>
      <c r="M589" s="306">
        <f t="shared" ca="1" si="277"/>
        <v>-1.4992553237643336</v>
      </c>
      <c r="N589" s="304">
        <f t="shared" ca="1" si="278"/>
        <v>-85.901002464216106</v>
      </c>
      <c r="P589" s="310">
        <f t="shared" ca="1" si="279"/>
        <v>23</v>
      </c>
      <c r="Q589" s="304">
        <f t="shared" ca="1" si="280"/>
        <v>0</v>
      </c>
      <c r="R589" s="306">
        <f t="shared" ca="1" si="281"/>
        <v>0</v>
      </c>
      <c r="S589" s="307">
        <f t="shared" ca="1" si="282"/>
        <v>0.4270000000000001</v>
      </c>
      <c r="T589" s="304">
        <f t="shared" ca="1" si="262"/>
        <v>4.1888700000000014</v>
      </c>
      <c r="U589" s="311">
        <f t="shared" ca="1" si="263"/>
        <v>0</v>
      </c>
      <c r="V589" s="306">
        <f t="shared" ca="1" si="264"/>
        <v>1.2255019911297944</v>
      </c>
      <c r="W589" s="304">
        <f t="shared" ca="1" si="265"/>
        <v>3.5485521551496744</v>
      </c>
      <c r="Y589" s="314" t="str">
        <f t="shared" ca="1" si="283"/>
        <v/>
      </c>
      <c r="Z589" s="315" t="str">
        <f t="shared" ca="1" si="284"/>
        <v/>
      </c>
      <c r="AA589" s="316" t="str">
        <f t="shared" ca="1" si="285"/>
        <v/>
      </c>
      <c r="AC589" s="310" t="e">
        <f t="shared" ca="1" si="286"/>
        <v>#N/A</v>
      </c>
      <c r="AD589" s="323" t="e">
        <f t="shared" ca="1" si="287"/>
        <v>#N/A</v>
      </c>
      <c r="AE589" s="324" t="e">
        <f t="shared" ca="1" si="266"/>
        <v>#N/A</v>
      </c>
      <c r="AG589" s="306">
        <f t="shared" ca="1" si="288"/>
        <v>1.4745299972274033</v>
      </c>
      <c r="AH589" s="304">
        <f t="shared" ca="1" si="289"/>
        <v>-8.310375413724115</v>
      </c>
    </row>
    <row r="590" spans="1:34" x14ac:dyDescent="0.3">
      <c r="A590" s="347">
        <f t="shared" ca="1" si="267"/>
        <v>1E-4</v>
      </c>
      <c r="B590" s="304">
        <f t="shared" ca="1" si="268"/>
        <v>16.124499999999905</v>
      </c>
      <c r="D590" s="306">
        <f t="shared" ca="1" si="269"/>
        <v>-0.59402923300045951</v>
      </c>
      <c r="E590" s="307">
        <f t="shared" ca="1" si="270"/>
        <v>-1.5208311981480698</v>
      </c>
      <c r="F590" s="304">
        <f t="shared" ca="1" si="271"/>
        <v>1.6327272469459213</v>
      </c>
      <c r="G590" s="306">
        <f t="shared" ca="1" si="272"/>
        <v>3.7397811796803304</v>
      </c>
      <c r="H590" s="307">
        <f t="shared" ca="1" si="273"/>
        <v>-52.186421982052231</v>
      </c>
      <c r="I590" s="304">
        <f t="shared" ca="1" si="274"/>
        <v>52.320250406135443</v>
      </c>
      <c r="J590" s="306">
        <f t="shared" ca="1" si="275"/>
        <v>150.09587023194715</v>
      </c>
      <c r="K590" s="307">
        <f t="shared" ca="1" si="276"/>
        <v>-4.1022659466268081</v>
      </c>
      <c r="L590" s="304">
        <f t="shared" ca="1" si="261"/>
        <v>150.15191922377272</v>
      </c>
      <c r="M590" s="306">
        <f t="shared" ca="1" si="277"/>
        <v>-1.499256664007784</v>
      </c>
      <c r="N590" s="304">
        <f t="shared" ca="1" si="278"/>
        <v>-85.901079254509341</v>
      </c>
      <c r="P590" s="310">
        <f t="shared" ca="1" si="279"/>
        <v>23</v>
      </c>
      <c r="Q590" s="304">
        <f t="shared" ca="1" si="280"/>
        <v>0</v>
      </c>
      <c r="R590" s="306">
        <f t="shared" ca="1" si="281"/>
        <v>0</v>
      </c>
      <c r="S590" s="307">
        <f t="shared" ca="1" si="282"/>
        <v>0.4270000000000001</v>
      </c>
      <c r="T590" s="304">
        <f t="shared" ca="1" si="262"/>
        <v>4.1888700000000014</v>
      </c>
      <c r="U590" s="311">
        <f t="shared" ca="1" si="263"/>
        <v>0</v>
      </c>
      <c r="V590" s="306">
        <f t="shared" ca="1" si="264"/>
        <v>1.2255026306746968</v>
      </c>
      <c r="W590" s="304">
        <f t="shared" ca="1" si="265"/>
        <v>3.5485740080412738</v>
      </c>
      <c r="Y590" s="314" t="str">
        <f t="shared" ca="1" si="283"/>
        <v/>
      </c>
      <c r="Z590" s="315" t="str">
        <f t="shared" ca="1" si="284"/>
        <v/>
      </c>
      <c r="AA590" s="316" t="str">
        <f t="shared" ca="1" si="285"/>
        <v/>
      </c>
      <c r="AC590" s="310" t="e">
        <f t="shared" ca="1" si="286"/>
        <v>#N/A</v>
      </c>
      <c r="AD590" s="323" t="e">
        <f t="shared" ca="1" si="287"/>
        <v>#N/A</v>
      </c>
      <c r="AE590" s="324" t="e">
        <f t="shared" ca="1" si="266"/>
        <v>#N/A</v>
      </c>
      <c r="AG590" s="306">
        <f t="shared" ca="1" si="288"/>
        <v>1.4744797579279609</v>
      </c>
      <c r="AH590" s="304">
        <f t="shared" ca="1" si="289"/>
        <v>-8.3104265928563787</v>
      </c>
    </row>
    <row r="591" spans="1:34" x14ac:dyDescent="0.3">
      <c r="A591" s="347">
        <f t="shared" ca="1" si="267"/>
        <v>1E-4</v>
      </c>
      <c r="B591" s="304">
        <f t="shared" ca="1" si="268"/>
        <v>16.124599999999905</v>
      </c>
      <c r="D591" s="306">
        <f t="shared" ca="1" si="269"/>
        <v>-0.59402178161123509</v>
      </c>
      <c r="E591" s="307">
        <f t="shared" ca="1" si="270"/>
        <v>-1.5207793551856543</v>
      </c>
      <c r="F591" s="304">
        <f t="shared" ca="1" si="271"/>
        <v>1.6326762459800412</v>
      </c>
      <c r="G591" s="306">
        <f t="shared" ca="1" si="272"/>
        <v>3.7397217775021692</v>
      </c>
      <c r="H591" s="307">
        <f t="shared" ca="1" si="273"/>
        <v>-52.186574059987748</v>
      </c>
      <c r="I591" s="304">
        <f t="shared" ca="1" si="274"/>
        <v>52.320397849134423</v>
      </c>
      <c r="J591" s="306">
        <f t="shared" ca="1" si="275"/>
        <v>150.09587023194715</v>
      </c>
      <c r="K591" s="307">
        <f t="shared" ca="1" si="276"/>
        <v>-4.1074845964289102</v>
      </c>
      <c r="L591" s="304">
        <f t="shared" ca="1" si="261"/>
        <v>150.15206189192148</v>
      </c>
      <c r="M591" s="306">
        <f t="shared" ca="1" si="277"/>
        <v>-1.4992580042223926</v>
      </c>
      <c r="N591" s="304">
        <f t="shared" ca="1" si="278"/>
        <v>-85.901156043150053</v>
      </c>
      <c r="P591" s="310">
        <f t="shared" ca="1" si="279"/>
        <v>23</v>
      </c>
      <c r="Q591" s="304">
        <f t="shared" ca="1" si="280"/>
        <v>0</v>
      </c>
      <c r="R591" s="306">
        <f t="shared" ca="1" si="281"/>
        <v>0</v>
      </c>
      <c r="S591" s="307">
        <f t="shared" ca="1" si="282"/>
        <v>0.4270000000000001</v>
      </c>
      <c r="T591" s="304">
        <f t="shared" ca="1" si="262"/>
        <v>4.1888700000000014</v>
      </c>
      <c r="U591" s="311">
        <f t="shared" ca="1" si="263"/>
        <v>0</v>
      </c>
      <c r="V591" s="306">
        <f t="shared" ca="1" si="264"/>
        <v>1.2255032702217967</v>
      </c>
      <c r="W591" s="304">
        <f t="shared" ca="1" si="265"/>
        <v>3.5485958603350065</v>
      </c>
      <c r="Y591" s="314" t="str">
        <f t="shared" ca="1" si="283"/>
        <v/>
      </c>
      <c r="Z591" s="315" t="str">
        <f t="shared" ca="1" si="284"/>
        <v/>
      </c>
      <c r="AA591" s="316" t="str">
        <f t="shared" ca="1" si="285"/>
        <v/>
      </c>
      <c r="AC591" s="310" t="e">
        <f t="shared" ca="1" si="286"/>
        <v>#N/A</v>
      </c>
      <c r="AD591" s="323" t="e">
        <f t="shared" ca="1" si="287"/>
        <v>#N/A</v>
      </c>
      <c r="AE591" s="324" t="e">
        <f t="shared" ca="1" si="266"/>
        <v>#N/A</v>
      </c>
      <c r="AG591" s="306">
        <f t="shared" ca="1" si="288"/>
        <v>1.4744295199909008</v>
      </c>
      <c r="AH591" s="304">
        <f t="shared" ca="1" si="289"/>
        <v>-8.3104777705884612</v>
      </c>
    </row>
    <row r="592" spans="1:34" x14ac:dyDescent="0.3">
      <c r="A592" s="347">
        <f t="shared" ca="1" si="267"/>
        <v>1E-4</v>
      </c>
      <c r="B592" s="304">
        <f t="shared" ca="1" si="268"/>
        <v>16.124699999999905</v>
      </c>
      <c r="D592" s="306">
        <f t="shared" ca="1" si="269"/>
        <v>-0.59401433022311168</v>
      </c>
      <c r="E592" s="307">
        <f t="shared" ca="1" si="270"/>
        <v>-1.5207275136420293</v>
      </c>
      <c r="F592" s="304">
        <f t="shared" ca="1" si="271"/>
        <v>1.632625246423159</v>
      </c>
      <c r="G592" s="306">
        <f t="shared" ca="1" si="272"/>
        <v>3.739662376069147</v>
      </c>
      <c r="H592" s="307">
        <f t="shared" ca="1" si="273"/>
        <v>-52.186726132739111</v>
      </c>
      <c r="I592" s="304">
        <f t="shared" ca="1" si="274"/>
        <v>52.320545287109745</v>
      </c>
      <c r="J592" s="306">
        <f t="shared" ca="1" si="275"/>
        <v>150.09587023194715</v>
      </c>
      <c r="K592" s="307">
        <f t="shared" ca="1" si="276"/>
        <v>-4.1127032614385461</v>
      </c>
      <c r="L592" s="304">
        <f t="shared" ca="1" si="261"/>
        <v>150.15220474172921</v>
      </c>
      <c r="M592" s="306">
        <f t="shared" ca="1" si="277"/>
        <v>-1.4992593444081599</v>
      </c>
      <c r="N592" s="304">
        <f t="shared" ca="1" si="278"/>
        <v>-85.901232830138284</v>
      </c>
      <c r="P592" s="310">
        <f t="shared" ca="1" si="279"/>
        <v>23</v>
      </c>
      <c r="Q592" s="304">
        <f t="shared" ca="1" si="280"/>
        <v>0</v>
      </c>
      <c r="R592" s="306">
        <f t="shared" ca="1" si="281"/>
        <v>0</v>
      </c>
      <c r="S592" s="307">
        <f t="shared" ca="1" si="282"/>
        <v>0.4270000000000001</v>
      </c>
      <c r="T592" s="304">
        <f t="shared" ca="1" si="262"/>
        <v>4.1888700000000014</v>
      </c>
      <c r="U592" s="311">
        <f t="shared" ca="1" si="263"/>
        <v>0</v>
      </c>
      <c r="V592" s="306">
        <f t="shared" ca="1" si="264"/>
        <v>1.2255039097710942</v>
      </c>
      <c r="W592" s="304">
        <f t="shared" ca="1" si="265"/>
        <v>3.5486177120308855</v>
      </c>
      <c r="Y592" s="314" t="str">
        <f t="shared" ca="1" si="283"/>
        <v/>
      </c>
      <c r="Z592" s="315" t="str">
        <f t="shared" ca="1" si="284"/>
        <v/>
      </c>
      <c r="AA592" s="316" t="str">
        <f t="shared" ca="1" si="285"/>
        <v/>
      </c>
      <c r="AC592" s="310" t="e">
        <f t="shared" ca="1" si="286"/>
        <v>#N/A</v>
      </c>
      <c r="AD592" s="323" t="e">
        <f t="shared" ca="1" si="287"/>
        <v>#N/A</v>
      </c>
      <c r="AE592" s="324" t="e">
        <f t="shared" ca="1" si="266"/>
        <v>#N/A</v>
      </c>
      <c r="AG592" s="306">
        <f t="shared" ca="1" si="288"/>
        <v>1.4743792834161944</v>
      </c>
      <c r="AH592" s="304">
        <f t="shared" ca="1" si="289"/>
        <v>-8.3105289469203871</v>
      </c>
    </row>
    <row r="593" spans="1:34" x14ac:dyDescent="0.3">
      <c r="A593" s="347">
        <f t="shared" ca="1" si="267"/>
        <v>1E-4</v>
      </c>
      <c r="B593" s="304">
        <f t="shared" ca="1" si="268"/>
        <v>16.124799999999905</v>
      </c>
      <c r="D593" s="306">
        <f t="shared" ca="1" si="269"/>
        <v>-0.59400687883609793</v>
      </c>
      <c r="E593" s="307">
        <f t="shared" ca="1" si="270"/>
        <v>-1.5206756735171645</v>
      </c>
      <c r="F593" s="304">
        <f t="shared" ca="1" si="271"/>
        <v>1.6325742482752459</v>
      </c>
      <c r="G593" s="306">
        <f t="shared" ca="1" si="272"/>
        <v>3.7396029753812634</v>
      </c>
      <c r="H593" s="307">
        <f t="shared" ca="1" si="273"/>
        <v>-52.18687820030646</v>
      </c>
      <c r="I593" s="304">
        <f t="shared" ca="1" si="274"/>
        <v>52.320692720061551</v>
      </c>
      <c r="J593" s="306">
        <f t="shared" ca="1" si="275"/>
        <v>150.09587023194715</v>
      </c>
      <c r="K593" s="307">
        <f t="shared" ca="1" si="276"/>
        <v>-4.1179219416551982</v>
      </c>
      <c r="L593" s="304">
        <f t="shared" ca="1" si="261"/>
        <v>150.15234777319694</v>
      </c>
      <c r="M593" s="306">
        <f t="shared" ca="1" si="277"/>
        <v>-1.4992606845650869</v>
      </c>
      <c r="N593" s="304">
        <f t="shared" ca="1" si="278"/>
        <v>-85.901309615474077</v>
      </c>
      <c r="P593" s="310">
        <f t="shared" ca="1" si="279"/>
        <v>23</v>
      </c>
      <c r="Q593" s="304">
        <f t="shared" ca="1" si="280"/>
        <v>0</v>
      </c>
      <c r="R593" s="306">
        <f t="shared" ca="1" si="281"/>
        <v>0</v>
      </c>
      <c r="S593" s="307">
        <f t="shared" ca="1" si="282"/>
        <v>0.4270000000000001</v>
      </c>
      <c r="T593" s="304">
        <f t="shared" ca="1" si="262"/>
        <v>4.1888700000000014</v>
      </c>
      <c r="U593" s="311">
        <f t="shared" ca="1" si="263"/>
        <v>0</v>
      </c>
      <c r="V593" s="306">
        <f t="shared" ca="1" si="264"/>
        <v>1.2255045493225891</v>
      </c>
      <c r="W593" s="304">
        <f t="shared" ca="1" si="265"/>
        <v>3.548639563128924</v>
      </c>
      <c r="Y593" s="314" t="str">
        <f t="shared" ca="1" si="283"/>
        <v/>
      </c>
      <c r="Z593" s="315" t="str">
        <f t="shared" ca="1" si="284"/>
        <v/>
      </c>
      <c r="AA593" s="316" t="str">
        <f t="shared" ca="1" si="285"/>
        <v/>
      </c>
      <c r="AC593" s="310" t="e">
        <f t="shared" ca="1" si="286"/>
        <v>#N/A</v>
      </c>
      <c r="AD593" s="323" t="e">
        <f t="shared" ca="1" si="287"/>
        <v>#N/A</v>
      </c>
      <c r="AE593" s="324" t="e">
        <f t="shared" ca="1" si="266"/>
        <v>#N/A</v>
      </c>
      <c r="AG593" s="306">
        <f t="shared" ca="1" si="288"/>
        <v>1.4743290482038169</v>
      </c>
      <c r="AH593" s="304">
        <f t="shared" ca="1" si="289"/>
        <v>-8.3105801218521886</v>
      </c>
    </row>
    <row r="594" spans="1:34" x14ac:dyDescent="0.3">
      <c r="A594" s="347">
        <f t="shared" ca="1" si="267"/>
        <v>1E-4</v>
      </c>
      <c r="B594" s="304">
        <f t="shared" ca="1" si="268"/>
        <v>16.124899999999904</v>
      </c>
      <c r="D594" s="306">
        <f t="shared" ca="1" si="269"/>
        <v>-0.59399942745019663</v>
      </c>
      <c r="E594" s="307">
        <f t="shared" ca="1" si="270"/>
        <v>-1.5206238348110261</v>
      </c>
      <c r="F594" s="304">
        <f t="shared" ca="1" si="271"/>
        <v>1.6325232515362691</v>
      </c>
      <c r="G594" s="306">
        <f t="shared" ca="1" si="272"/>
        <v>3.7395435754385185</v>
      </c>
      <c r="H594" s="307">
        <f t="shared" ca="1" si="273"/>
        <v>-52.187030262689937</v>
      </c>
      <c r="I594" s="304">
        <f t="shared" ca="1" si="274"/>
        <v>52.320840147989962</v>
      </c>
      <c r="J594" s="306">
        <f t="shared" ca="1" si="275"/>
        <v>150.09587023194715</v>
      </c>
      <c r="K594" s="307">
        <f t="shared" ca="1" si="276"/>
        <v>-4.1231406370783477</v>
      </c>
      <c r="L594" s="304">
        <f t="shared" ca="1" si="261"/>
        <v>150.15249098632577</v>
      </c>
      <c r="M594" s="306">
        <f t="shared" ca="1" si="277"/>
        <v>-1.4992620246931743</v>
      </c>
      <c r="N594" s="304">
        <f t="shared" ca="1" si="278"/>
        <v>-85.901386399157502</v>
      </c>
      <c r="P594" s="310">
        <f t="shared" ca="1" si="279"/>
        <v>23</v>
      </c>
      <c r="Q594" s="304">
        <f t="shared" ca="1" si="280"/>
        <v>0</v>
      </c>
      <c r="R594" s="306">
        <f t="shared" ca="1" si="281"/>
        <v>0</v>
      </c>
      <c r="S594" s="307">
        <f t="shared" ca="1" si="282"/>
        <v>0.4270000000000001</v>
      </c>
      <c r="T594" s="304">
        <f t="shared" ca="1" si="262"/>
        <v>4.1888700000000014</v>
      </c>
      <c r="U594" s="311">
        <f t="shared" ca="1" si="263"/>
        <v>0</v>
      </c>
      <c r="V594" s="306">
        <f t="shared" ca="1" si="264"/>
        <v>1.2255051888762816</v>
      </c>
      <c r="W594" s="304">
        <f t="shared" ca="1" si="265"/>
        <v>3.5486614136291315</v>
      </c>
      <c r="Y594" s="314" t="str">
        <f t="shared" ca="1" si="283"/>
        <v/>
      </c>
      <c r="Z594" s="315" t="str">
        <f t="shared" ca="1" si="284"/>
        <v/>
      </c>
      <c r="AA594" s="316" t="str">
        <f t="shared" ca="1" si="285"/>
        <v/>
      </c>
      <c r="AC594" s="310" t="e">
        <f t="shared" ca="1" si="286"/>
        <v>#N/A</v>
      </c>
      <c r="AD594" s="323" t="e">
        <f t="shared" ca="1" si="287"/>
        <v>#N/A</v>
      </c>
      <c r="AE594" s="324" t="e">
        <f t="shared" ca="1" si="266"/>
        <v>#N/A</v>
      </c>
      <c r="AG594" s="306">
        <f t="shared" ca="1" si="288"/>
        <v>1.4742788143537382</v>
      </c>
      <c r="AH594" s="304">
        <f t="shared" ca="1" si="289"/>
        <v>-8.3106312953838959</v>
      </c>
    </row>
    <row r="595" spans="1:34" x14ac:dyDescent="0.3">
      <c r="A595" s="347">
        <f t="shared" ca="1" si="267"/>
        <v>1E-4</v>
      </c>
      <c r="B595" s="304">
        <f t="shared" ca="1" si="268"/>
        <v>16.124999999999904</v>
      </c>
      <c r="D595" s="306">
        <f t="shared" ca="1" si="269"/>
        <v>-0.5939919760654141</v>
      </c>
      <c r="E595" s="307">
        <f t="shared" ca="1" si="270"/>
        <v>-1.5205719975236001</v>
      </c>
      <c r="F595" s="304">
        <f t="shared" ca="1" si="271"/>
        <v>1.6324722562062139</v>
      </c>
      <c r="G595" s="306">
        <f t="shared" ca="1" si="272"/>
        <v>3.7394841762409121</v>
      </c>
      <c r="H595" s="307">
        <f t="shared" ca="1" si="273"/>
        <v>-52.187182319889686</v>
      </c>
      <c r="I595" s="304">
        <f t="shared" ca="1" si="274"/>
        <v>52.320987570895127</v>
      </c>
      <c r="J595" s="306">
        <f t="shared" ca="1" si="275"/>
        <v>150.09587023194715</v>
      </c>
      <c r="K595" s="307">
        <f t="shared" ca="1" si="276"/>
        <v>-4.1283593477074767</v>
      </c>
      <c r="L595" s="304">
        <f t="shared" ca="1" si="261"/>
        <v>150.15263438111674</v>
      </c>
      <c r="M595" s="306">
        <f t="shared" ca="1" si="277"/>
        <v>-1.4992633647924229</v>
      </c>
      <c r="N595" s="304">
        <f t="shared" ca="1" si="278"/>
        <v>-85.901463181188575</v>
      </c>
      <c r="P595" s="310">
        <f t="shared" ca="1" si="279"/>
        <v>23</v>
      </c>
      <c r="Q595" s="304">
        <f t="shared" ca="1" si="280"/>
        <v>0</v>
      </c>
      <c r="R595" s="306">
        <f t="shared" ca="1" si="281"/>
        <v>0</v>
      </c>
      <c r="S595" s="307">
        <f t="shared" ca="1" si="282"/>
        <v>0.4270000000000001</v>
      </c>
      <c r="T595" s="304">
        <f t="shared" ca="1" si="262"/>
        <v>4.1888700000000014</v>
      </c>
      <c r="U595" s="311">
        <f t="shared" ca="1" si="263"/>
        <v>0</v>
      </c>
      <c r="V595" s="306">
        <f t="shared" ca="1" si="264"/>
        <v>1.2255058284321714</v>
      </c>
      <c r="W595" s="304">
        <f t="shared" ca="1" si="265"/>
        <v>3.5486832635315189</v>
      </c>
      <c r="Y595" s="314" t="str">
        <f t="shared" ca="1" si="283"/>
        <v/>
      </c>
      <c r="Z595" s="315" t="str">
        <f t="shared" ca="1" si="284"/>
        <v/>
      </c>
      <c r="AA595" s="316" t="str">
        <f t="shared" ca="1" si="285"/>
        <v/>
      </c>
      <c r="AC595" s="310" t="e">
        <f t="shared" ca="1" si="286"/>
        <v>#N/A</v>
      </c>
      <c r="AD595" s="323" t="e">
        <f t="shared" ca="1" si="287"/>
        <v>#N/A</v>
      </c>
      <c r="AE595" s="324" t="e">
        <f t="shared" ca="1" si="266"/>
        <v>#N/A</v>
      </c>
      <c r="AG595" s="306">
        <f t="shared" ca="1" si="288"/>
        <v>1.4742285818659351</v>
      </c>
      <c r="AH595" s="304">
        <f t="shared" ca="1" si="289"/>
        <v>-8.3106824675155284</v>
      </c>
    </row>
    <row r="596" spans="1:34" x14ac:dyDescent="0.3">
      <c r="A596" s="347">
        <f t="shared" ca="1" si="267"/>
        <v>1E-4</v>
      </c>
      <c r="B596" s="304">
        <f t="shared" ca="1" si="268"/>
        <v>16.125099999999904</v>
      </c>
      <c r="D596" s="306">
        <f t="shared" ca="1" si="269"/>
        <v>-0.59398452468175489</v>
      </c>
      <c r="E596" s="307">
        <f t="shared" ca="1" si="270"/>
        <v>-1.5205201616548507</v>
      </c>
      <c r="F596" s="304">
        <f t="shared" ca="1" si="271"/>
        <v>1.6324212622850462</v>
      </c>
      <c r="G596" s="306">
        <f t="shared" ca="1" si="272"/>
        <v>3.739424777788444</v>
      </c>
      <c r="H596" s="307">
        <f t="shared" ca="1" si="273"/>
        <v>-52.187334371905848</v>
      </c>
      <c r="I596" s="304">
        <f t="shared" ca="1" si="274"/>
        <v>52.321134988777182</v>
      </c>
      <c r="J596" s="306">
        <f t="shared" ca="1" si="275"/>
        <v>150.09587023194715</v>
      </c>
      <c r="K596" s="307">
        <f t="shared" ca="1" si="276"/>
        <v>-4.1335780735420666</v>
      </c>
      <c r="L596" s="304">
        <f t="shared" ca="1" si="261"/>
        <v>150.15277795757089</v>
      </c>
      <c r="M596" s="306">
        <f t="shared" ca="1" si="277"/>
        <v>-1.4992647048628338</v>
      </c>
      <c r="N596" s="304">
        <f t="shared" ca="1" si="278"/>
        <v>-85.901539961567366</v>
      </c>
      <c r="P596" s="310">
        <f t="shared" ca="1" si="279"/>
        <v>23</v>
      </c>
      <c r="Q596" s="304">
        <f t="shared" ca="1" si="280"/>
        <v>0</v>
      </c>
      <c r="R596" s="306">
        <f t="shared" ca="1" si="281"/>
        <v>0</v>
      </c>
      <c r="S596" s="307">
        <f t="shared" ca="1" si="282"/>
        <v>0.4270000000000001</v>
      </c>
      <c r="T596" s="304">
        <f t="shared" ca="1" si="262"/>
        <v>4.1888700000000014</v>
      </c>
      <c r="U596" s="311">
        <f t="shared" ca="1" si="263"/>
        <v>0</v>
      </c>
      <c r="V596" s="306">
        <f t="shared" ca="1" si="264"/>
        <v>1.2255064679902581</v>
      </c>
      <c r="W596" s="304">
        <f t="shared" ca="1" si="265"/>
        <v>3.5487051128361</v>
      </c>
      <c r="Y596" s="314" t="str">
        <f t="shared" ca="1" si="283"/>
        <v/>
      </c>
      <c r="Z596" s="315" t="str">
        <f t="shared" ca="1" si="284"/>
        <v/>
      </c>
      <c r="AA596" s="316" t="str">
        <f t="shared" ca="1" si="285"/>
        <v/>
      </c>
      <c r="AC596" s="310" t="e">
        <f t="shared" ca="1" si="286"/>
        <v>#N/A</v>
      </c>
      <c r="AD596" s="323" t="e">
        <f t="shared" ca="1" si="287"/>
        <v>#N/A</v>
      </c>
      <c r="AE596" s="324" t="e">
        <f t="shared" ca="1" si="266"/>
        <v>#N/A</v>
      </c>
      <c r="AG596" s="306">
        <f t="shared" ca="1" si="288"/>
        <v>1.4741783507403881</v>
      </c>
      <c r="AH596" s="304">
        <f t="shared" ca="1" si="289"/>
        <v>-8.3107336382471146</v>
      </c>
    </row>
    <row r="597" spans="1:34" x14ac:dyDescent="0.3">
      <c r="A597" s="347">
        <f t="shared" ca="1" si="267"/>
        <v>1E-4</v>
      </c>
      <c r="B597" s="304">
        <f t="shared" ca="1" si="268"/>
        <v>16.125199999999904</v>
      </c>
      <c r="D597" s="306">
        <f t="shared" ca="1" si="269"/>
        <v>-0.59397707329922433</v>
      </c>
      <c r="E597" s="307">
        <f t="shared" ca="1" si="270"/>
        <v>-1.5204683272047514</v>
      </c>
      <c r="F597" s="304">
        <f t="shared" ca="1" si="271"/>
        <v>1.6323702697727398</v>
      </c>
      <c r="G597" s="306">
        <f t="shared" ca="1" si="272"/>
        <v>3.739365380081114</v>
      </c>
      <c r="H597" s="307">
        <f t="shared" ca="1" si="273"/>
        <v>-52.187486418738565</v>
      </c>
      <c r="I597" s="304">
        <f t="shared" ca="1" si="274"/>
        <v>52.321282401636253</v>
      </c>
      <c r="J597" s="306">
        <f t="shared" ca="1" si="275"/>
        <v>150.09587023194715</v>
      </c>
      <c r="K597" s="307">
        <f t="shared" ca="1" si="276"/>
        <v>-4.1387968145815988</v>
      </c>
      <c r="L597" s="304">
        <f t="shared" ca="1" si="261"/>
        <v>150.15292171568927</v>
      </c>
      <c r="M597" s="306">
        <f t="shared" ca="1" si="277"/>
        <v>-1.4992660449044077</v>
      </c>
      <c r="N597" s="304">
        <f t="shared" ca="1" si="278"/>
        <v>-85.901616740293932</v>
      </c>
      <c r="P597" s="310">
        <f t="shared" ca="1" si="279"/>
        <v>23</v>
      </c>
      <c r="Q597" s="304">
        <f t="shared" ca="1" si="280"/>
        <v>0</v>
      </c>
      <c r="R597" s="306">
        <f t="shared" ca="1" si="281"/>
        <v>0</v>
      </c>
      <c r="S597" s="307">
        <f t="shared" ca="1" si="282"/>
        <v>0.4270000000000001</v>
      </c>
      <c r="T597" s="304">
        <f t="shared" ca="1" si="262"/>
        <v>4.1888700000000014</v>
      </c>
      <c r="U597" s="311">
        <f t="shared" ca="1" si="263"/>
        <v>0</v>
      </c>
      <c r="V597" s="306">
        <f t="shared" ca="1" si="264"/>
        <v>1.2255071075505422</v>
      </c>
      <c r="W597" s="304">
        <f t="shared" ca="1" si="265"/>
        <v>3.548726961542886</v>
      </c>
      <c r="Y597" s="314" t="str">
        <f t="shared" ca="1" si="283"/>
        <v/>
      </c>
      <c r="Z597" s="315" t="str">
        <f t="shared" ca="1" si="284"/>
        <v/>
      </c>
      <c r="AA597" s="316" t="str">
        <f t="shared" ca="1" si="285"/>
        <v/>
      </c>
      <c r="AC597" s="310" t="e">
        <f t="shared" ca="1" si="286"/>
        <v>#N/A</v>
      </c>
      <c r="AD597" s="323" t="e">
        <f t="shared" ca="1" si="287"/>
        <v>#N/A</v>
      </c>
      <c r="AE597" s="324" t="e">
        <f t="shared" ca="1" si="266"/>
        <v>#N/A</v>
      </c>
      <c r="AG597" s="306">
        <f t="shared" ca="1" si="288"/>
        <v>1.4741281209770634</v>
      </c>
      <c r="AH597" s="304">
        <f t="shared" ca="1" si="289"/>
        <v>-8.3107848075786865</v>
      </c>
    </row>
    <row r="598" spans="1:34" x14ac:dyDescent="0.3">
      <c r="A598" s="347">
        <f t="shared" ca="1" si="267"/>
        <v>1E-4</v>
      </c>
      <c r="B598" s="304">
        <f t="shared" ca="1" si="268"/>
        <v>16.125299999999903</v>
      </c>
      <c r="D598" s="306">
        <f t="shared" ca="1" si="269"/>
        <v>-0.59396962191782654</v>
      </c>
      <c r="E598" s="307">
        <f t="shared" ca="1" si="270"/>
        <v>-1.5204164941732738</v>
      </c>
      <c r="F598" s="304">
        <f t="shared" ca="1" si="271"/>
        <v>1.6323192786692666</v>
      </c>
      <c r="G598" s="306">
        <f t="shared" ca="1" si="272"/>
        <v>3.7393059831189221</v>
      </c>
      <c r="H598" s="307">
        <f t="shared" ca="1" si="273"/>
        <v>-52.18763846038798</v>
      </c>
      <c r="I598" s="304">
        <f t="shared" ca="1" si="274"/>
        <v>52.321429809472484</v>
      </c>
      <c r="J598" s="306">
        <f t="shared" ca="1" si="275"/>
        <v>150.09587023194715</v>
      </c>
      <c r="K598" s="307">
        <f t="shared" ca="1" si="276"/>
        <v>-4.1440155708255553</v>
      </c>
      <c r="L598" s="304">
        <f t="shared" ca="1" si="261"/>
        <v>150.15306565547291</v>
      </c>
      <c r="M598" s="306">
        <f t="shared" ca="1" si="277"/>
        <v>-1.4992673849171452</v>
      </c>
      <c r="N598" s="304">
        <f t="shared" ca="1" si="278"/>
        <v>-85.901693517368273</v>
      </c>
      <c r="P598" s="310">
        <f t="shared" ca="1" si="279"/>
        <v>23</v>
      </c>
      <c r="Q598" s="304">
        <f t="shared" ca="1" si="280"/>
        <v>0</v>
      </c>
      <c r="R598" s="306">
        <f t="shared" ca="1" si="281"/>
        <v>0</v>
      </c>
      <c r="S598" s="307">
        <f t="shared" ca="1" si="282"/>
        <v>0.4270000000000001</v>
      </c>
      <c r="T598" s="304">
        <f t="shared" ca="1" si="262"/>
        <v>4.1888700000000014</v>
      </c>
      <c r="U598" s="311">
        <f t="shared" ca="1" si="263"/>
        <v>0</v>
      </c>
      <c r="V598" s="306">
        <f t="shared" ca="1" si="264"/>
        <v>1.2255077471130233</v>
      </c>
      <c r="W598" s="304">
        <f t="shared" ca="1" si="265"/>
        <v>3.5487488096518871</v>
      </c>
      <c r="Y598" s="314" t="str">
        <f t="shared" ca="1" si="283"/>
        <v/>
      </c>
      <c r="Z598" s="315" t="str">
        <f t="shared" ca="1" si="284"/>
        <v/>
      </c>
      <c r="AA598" s="316" t="str">
        <f t="shared" ca="1" si="285"/>
        <v/>
      </c>
      <c r="AC598" s="310" t="e">
        <f t="shared" ca="1" si="286"/>
        <v>#N/A</v>
      </c>
      <c r="AD598" s="323" t="e">
        <f t="shared" ca="1" si="287"/>
        <v>#N/A</v>
      </c>
      <c r="AE598" s="324" t="e">
        <f t="shared" ca="1" si="266"/>
        <v>#N/A</v>
      </c>
      <c r="AG598" s="306">
        <f t="shared" ca="1" si="288"/>
        <v>1.4740778925759379</v>
      </c>
      <c r="AH598" s="304">
        <f t="shared" ca="1" si="289"/>
        <v>-8.310835975510269</v>
      </c>
    </row>
    <row r="599" spans="1:34" x14ac:dyDescent="0.3">
      <c r="A599" s="347">
        <f t="shared" ca="1" si="267"/>
        <v>1E-4</v>
      </c>
      <c r="B599" s="304">
        <f t="shared" ca="1" si="268"/>
        <v>16.125399999999903</v>
      </c>
      <c r="D599" s="306">
        <f t="shared" ca="1" si="269"/>
        <v>-0.59396217053756994</v>
      </c>
      <c r="E599" s="307">
        <f t="shared" ca="1" si="270"/>
        <v>-1.5203646625603913</v>
      </c>
      <c r="F599" s="304">
        <f t="shared" ca="1" si="271"/>
        <v>1.6322682889746019</v>
      </c>
      <c r="G599" s="306">
        <f t="shared" ca="1" si="272"/>
        <v>3.7392465869018685</v>
      </c>
      <c r="H599" s="307">
        <f t="shared" ca="1" si="273"/>
        <v>-52.187790496854234</v>
      </c>
      <c r="I599" s="304">
        <f t="shared" ca="1" si="274"/>
        <v>52.321577212286009</v>
      </c>
      <c r="J599" s="306">
        <f t="shared" ca="1" si="275"/>
        <v>150.09587023194715</v>
      </c>
      <c r="K599" s="307">
        <f t="shared" ca="1" si="276"/>
        <v>-4.1492343422734175</v>
      </c>
      <c r="L599" s="304">
        <f t="shared" ca="1" si="261"/>
        <v>150.15320977692292</v>
      </c>
      <c r="M599" s="306">
        <f t="shared" ca="1" si="277"/>
        <v>-1.4992687249010475</v>
      </c>
      <c r="N599" s="304">
        <f t="shared" ca="1" si="278"/>
        <v>-85.901770292790488</v>
      </c>
      <c r="P599" s="310">
        <f t="shared" ca="1" si="279"/>
        <v>23</v>
      </c>
      <c r="Q599" s="304">
        <f t="shared" ca="1" si="280"/>
        <v>0</v>
      </c>
      <c r="R599" s="306">
        <f t="shared" ca="1" si="281"/>
        <v>0</v>
      </c>
      <c r="S599" s="307">
        <f t="shared" ca="1" si="282"/>
        <v>0.4270000000000001</v>
      </c>
      <c r="T599" s="304">
        <f t="shared" ca="1" si="262"/>
        <v>4.1888700000000014</v>
      </c>
      <c r="U599" s="311">
        <f t="shared" ca="1" si="263"/>
        <v>0</v>
      </c>
      <c r="V599" s="306">
        <f t="shared" ca="1" si="264"/>
        <v>1.2255083866777017</v>
      </c>
      <c r="W599" s="304">
        <f t="shared" ca="1" si="265"/>
        <v>3.548770657163117</v>
      </c>
      <c r="Y599" s="314" t="str">
        <f t="shared" ca="1" si="283"/>
        <v/>
      </c>
      <c r="Z599" s="315" t="str">
        <f t="shared" ca="1" si="284"/>
        <v/>
      </c>
      <c r="AA599" s="316" t="str">
        <f t="shared" ca="1" si="285"/>
        <v/>
      </c>
      <c r="AC599" s="310" t="e">
        <f t="shared" ca="1" si="286"/>
        <v>#N/A</v>
      </c>
      <c r="AD599" s="323" t="e">
        <f t="shared" ca="1" si="287"/>
        <v>#N/A</v>
      </c>
      <c r="AE599" s="324" t="e">
        <f t="shared" ca="1" si="266"/>
        <v>#N/A</v>
      </c>
      <c r="AG599" s="306">
        <f t="shared" ca="1" si="288"/>
        <v>1.4740276655369886</v>
      </c>
      <c r="AH599" s="304">
        <f t="shared" ca="1" si="289"/>
        <v>-8.3108871420418886</v>
      </c>
    </row>
    <row r="600" spans="1:34" x14ac:dyDescent="0.3">
      <c r="A600" s="347">
        <f t="shared" ca="1" si="267"/>
        <v>1E-4</v>
      </c>
      <c r="B600" s="304">
        <f t="shared" ca="1" si="268"/>
        <v>16.125499999999903</v>
      </c>
      <c r="D600" s="306">
        <f t="shared" ca="1" si="269"/>
        <v>-0.59395471915845577</v>
      </c>
      <c r="E600" s="307">
        <f t="shared" ca="1" si="270"/>
        <v>-1.5203128323660771</v>
      </c>
      <c r="F600" s="304">
        <f t="shared" ca="1" si="271"/>
        <v>1.6322173006887177</v>
      </c>
      <c r="G600" s="306">
        <f t="shared" ca="1" si="272"/>
        <v>3.7391871914299526</v>
      </c>
      <c r="H600" s="307">
        <f t="shared" ca="1" si="273"/>
        <v>-52.187942528137469</v>
      </c>
      <c r="I600" s="304">
        <f t="shared" ca="1" si="274"/>
        <v>52.321724610076963</v>
      </c>
      <c r="J600" s="306">
        <f t="shared" ca="1" si="275"/>
        <v>150.09587023194715</v>
      </c>
      <c r="K600" s="307">
        <f t="shared" ca="1" si="276"/>
        <v>-4.1544531289246667</v>
      </c>
      <c r="L600" s="304">
        <f t="shared" ca="1" si="261"/>
        <v>150.15335408004029</v>
      </c>
      <c r="M600" s="306">
        <f t="shared" ca="1" si="277"/>
        <v>-1.4992700648561152</v>
      </c>
      <c r="N600" s="304">
        <f t="shared" ca="1" si="278"/>
        <v>-85.90184706656062</v>
      </c>
      <c r="P600" s="310">
        <f t="shared" ca="1" si="279"/>
        <v>23</v>
      </c>
      <c r="Q600" s="304">
        <f t="shared" ca="1" si="280"/>
        <v>0</v>
      </c>
      <c r="R600" s="306">
        <f t="shared" ca="1" si="281"/>
        <v>0</v>
      </c>
      <c r="S600" s="307">
        <f t="shared" ca="1" si="282"/>
        <v>0.4270000000000001</v>
      </c>
      <c r="T600" s="304">
        <f t="shared" ca="1" si="262"/>
        <v>4.1888700000000014</v>
      </c>
      <c r="U600" s="311">
        <f t="shared" ca="1" si="263"/>
        <v>0</v>
      </c>
      <c r="V600" s="306">
        <f t="shared" ca="1" si="264"/>
        <v>1.2255090262445771</v>
      </c>
      <c r="W600" s="304">
        <f t="shared" ca="1" si="265"/>
        <v>3.5487925040765864</v>
      </c>
      <c r="Y600" s="314" t="str">
        <f t="shared" ca="1" si="283"/>
        <v/>
      </c>
      <c r="Z600" s="315" t="str">
        <f t="shared" ca="1" si="284"/>
        <v/>
      </c>
      <c r="AA600" s="316" t="str">
        <f t="shared" ca="1" si="285"/>
        <v/>
      </c>
      <c r="AC600" s="310" t="e">
        <f t="shared" ca="1" si="286"/>
        <v>#N/A</v>
      </c>
      <c r="AD600" s="323" t="e">
        <f t="shared" ca="1" si="287"/>
        <v>#N/A</v>
      </c>
      <c r="AE600" s="324" t="e">
        <f t="shared" ca="1" si="266"/>
        <v>#N/A</v>
      </c>
      <c r="AG600" s="306">
        <f t="shared" ca="1" si="288"/>
        <v>1.4739774398601853</v>
      </c>
      <c r="AH600" s="304">
        <f t="shared" ca="1" si="289"/>
        <v>-8.3109383071735738</v>
      </c>
    </row>
    <row r="601" spans="1:34" x14ac:dyDescent="0.3">
      <c r="A601" s="347">
        <f t="shared" ca="1" si="267"/>
        <v>1E-4</v>
      </c>
      <c r="B601" s="304">
        <f t="shared" ca="1" si="268"/>
        <v>16.125599999999903</v>
      </c>
      <c r="D601" s="306">
        <f t="shared" ca="1" si="269"/>
        <v>-0.59394726778049056</v>
      </c>
      <c r="E601" s="307">
        <f t="shared" ca="1" si="270"/>
        <v>-1.5202610035902993</v>
      </c>
      <c r="F601" s="304">
        <f t="shared" ca="1" si="271"/>
        <v>1.6321663138115841</v>
      </c>
      <c r="G601" s="306">
        <f t="shared" ca="1" si="272"/>
        <v>3.7391277967031744</v>
      </c>
      <c r="H601" s="307">
        <f t="shared" ca="1" si="273"/>
        <v>-52.188094554237829</v>
      </c>
      <c r="I601" s="304">
        <f t="shared" ca="1" si="274"/>
        <v>52.321872002845488</v>
      </c>
      <c r="J601" s="306">
        <f t="shared" ca="1" si="275"/>
        <v>150.09587023194715</v>
      </c>
      <c r="K601" s="307">
        <f t="shared" ca="1" si="276"/>
        <v>-4.1596719307787851</v>
      </c>
      <c r="L601" s="304">
        <f t="shared" ca="1" si="261"/>
        <v>150.15349856482607</v>
      </c>
      <c r="M601" s="306">
        <f t="shared" ca="1" si="277"/>
        <v>-1.4992714047823492</v>
      </c>
      <c r="N601" s="304">
        <f t="shared" ca="1" si="278"/>
        <v>-85.901923838678684</v>
      </c>
      <c r="P601" s="310">
        <f t="shared" ca="1" si="279"/>
        <v>23</v>
      </c>
      <c r="Q601" s="304">
        <f t="shared" ca="1" si="280"/>
        <v>0</v>
      </c>
      <c r="R601" s="306">
        <f t="shared" ca="1" si="281"/>
        <v>0</v>
      </c>
      <c r="S601" s="307">
        <f t="shared" ca="1" si="282"/>
        <v>0.4270000000000001</v>
      </c>
      <c r="T601" s="304">
        <f t="shared" ca="1" si="262"/>
        <v>4.1888700000000014</v>
      </c>
      <c r="U601" s="311">
        <f t="shared" ca="1" si="263"/>
        <v>0</v>
      </c>
      <c r="V601" s="306">
        <f t="shared" ca="1" si="264"/>
        <v>1.2255096658136493</v>
      </c>
      <c r="W601" s="304">
        <f t="shared" ca="1" si="265"/>
        <v>3.5488143503923073</v>
      </c>
      <c r="Y601" s="314" t="str">
        <f t="shared" ca="1" si="283"/>
        <v/>
      </c>
      <c r="Z601" s="315" t="str">
        <f t="shared" ca="1" si="284"/>
        <v/>
      </c>
      <c r="AA601" s="316" t="str">
        <f t="shared" ca="1" si="285"/>
        <v/>
      </c>
      <c r="AC601" s="310" t="e">
        <f t="shared" ca="1" si="286"/>
        <v>#N/A</v>
      </c>
      <c r="AD601" s="323" t="e">
        <f t="shared" ca="1" si="287"/>
        <v>#N/A</v>
      </c>
      <c r="AE601" s="324" t="e">
        <f t="shared" ca="1" si="266"/>
        <v>#N/A</v>
      </c>
      <c r="AG601" s="306">
        <f t="shared" ca="1" si="288"/>
        <v>1.4739272155455065</v>
      </c>
      <c r="AH601" s="304">
        <f t="shared" ca="1" si="289"/>
        <v>-8.3109894709053531</v>
      </c>
    </row>
    <row r="602" spans="1:34" x14ac:dyDescent="0.3">
      <c r="A602" s="347">
        <f t="shared" ca="1" si="267"/>
        <v>1E-4</v>
      </c>
      <c r="B602" s="304">
        <f t="shared" ca="1" si="268"/>
        <v>16.125699999999902</v>
      </c>
      <c r="D602" s="306">
        <f t="shared" ca="1" si="269"/>
        <v>-0.59393981640368054</v>
      </c>
      <c r="E602" s="307">
        <f t="shared" ca="1" si="270"/>
        <v>-1.520209176233033</v>
      </c>
      <c r="F602" s="304">
        <f t="shared" ca="1" si="271"/>
        <v>1.6321153283431764</v>
      </c>
      <c r="G602" s="306">
        <f t="shared" ca="1" si="272"/>
        <v>3.739068402721534</v>
      </c>
      <c r="H602" s="307">
        <f t="shared" ca="1" si="273"/>
        <v>-52.188246575155453</v>
      </c>
      <c r="I602" s="304">
        <f t="shared" ca="1" si="274"/>
        <v>52.32201939059172</v>
      </c>
      <c r="J602" s="306">
        <f t="shared" ca="1" si="275"/>
        <v>150.09587023194715</v>
      </c>
      <c r="K602" s="307">
        <f t="shared" ca="1" si="276"/>
        <v>-4.1648907478352548</v>
      </c>
      <c r="L602" s="304">
        <f t="shared" ca="1" si="261"/>
        <v>150.15364323128134</v>
      </c>
      <c r="M602" s="306">
        <f t="shared" ca="1" si="277"/>
        <v>-1.4992727446797502</v>
      </c>
      <c r="N602" s="304">
        <f t="shared" ca="1" si="278"/>
        <v>-85.902000609144736</v>
      </c>
      <c r="P602" s="310">
        <f t="shared" ca="1" si="279"/>
        <v>23</v>
      </c>
      <c r="Q602" s="304">
        <f t="shared" ca="1" si="280"/>
        <v>0</v>
      </c>
      <c r="R602" s="306">
        <f t="shared" ca="1" si="281"/>
        <v>0</v>
      </c>
      <c r="S602" s="307">
        <f t="shared" ca="1" si="282"/>
        <v>0.4270000000000001</v>
      </c>
      <c r="T602" s="304">
        <f t="shared" ca="1" si="262"/>
        <v>4.1888700000000014</v>
      </c>
      <c r="U602" s="311">
        <f t="shared" ca="1" si="263"/>
        <v>0</v>
      </c>
      <c r="V602" s="306">
        <f t="shared" ca="1" si="264"/>
        <v>1.2255103053849186</v>
      </c>
      <c r="W602" s="304">
        <f t="shared" ca="1" si="265"/>
        <v>3.5488361961102917</v>
      </c>
      <c r="Y602" s="314" t="str">
        <f t="shared" ca="1" si="283"/>
        <v/>
      </c>
      <c r="Z602" s="315" t="str">
        <f t="shared" ca="1" si="284"/>
        <v/>
      </c>
      <c r="AA602" s="316" t="str">
        <f t="shared" ca="1" si="285"/>
        <v/>
      </c>
      <c r="AC602" s="310" t="e">
        <f t="shared" ca="1" si="286"/>
        <v>#N/A</v>
      </c>
      <c r="AD602" s="323" t="e">
        <f t="shared" ca="1" si="287"/>
        <v>#N/A</v>
      </c>
      <c r="AE602" s="324" t="e">
        <f t="shared" ca="1" si="266"/>
        <v>#N/A</v>
      </c>
      <c r="AG602" s="306">
        <f t="shared" ca="1" si="288"/>
        <v>1.473876992592924</v>
      </c>
      <c r="AH602" s="304">
        <f t="shared" ca="1" si="289"/>
        <v>-8.3110406332372513</v>
      </c>
    </row>
    <row r="603" spans="1:34" x14ac:dyDescent="0.3">
      <c r="A603" s="347">
        <f t="shared" ca="1" si="267"/>
        <v>1E-4</v>
      </c>
      <c r="B603" s="304">
        <f t="shared" ca="1" si="268"/>
        <v>16.125799999999902</v>
      </c>
      <c r="D603" s="306">
        <f t="shared" ca="1" si="269"/>
        <v>-0.59393236502803082</v>
      </c>
      <c r="E603" s="307">
        <f t="shared" ca="1" si="270"/>
        <v>-1.5201573502942498</v>
      </c>
      <c r="F603" s="304">
        <f t="shared" ca="1" si="271"/>
        <v>1.6320643442834675</v>
      </c>
      <c r="G603" s="306">
        <f t="shared" ca="1" si="272"/>
        <v>3.7390090094850312</v>
      </c>
      <c r="H603" s="307">
        <f t="shared" ca="1" si="273"/>
        <v>-52.188398590890486</v>
      </c>
      <c r="I603" s="304">
        <f t="shared" ca="1" si="274"/>
        <v>52.322166773315786</v>
      </c>
      <c r="J603" s="306">
        <f t="shared" ca="1" si="275"/>
        <v>150.09587023194715</v>
      </c>
      <c r="K603" s="307">
        <f t="shared" ca="1" si="276"/>
        <v>-4.1701095800935573</v>
      </c>
      <c r="L603" s="304">
        <f t="shared" ca="1" si="261"/>
        <v>150.15378807940712</v>
      </c>
      <c r="M603" s="306">
        <f t="shared" ca="1" si="277"/>
        <v>-1.4992740845483192</v>
      </c>
      <c r="N603" s="304">
        <f t="shared" ca="1" si="278"/>
        <v>-85.902077377958847</v>
      </c>
      <c r="P603" s="310">
        <f t="shared" ca="1" si="279"/>
        <v>23</v>
      </c>
      <c r="Q603" s="304">
        <f t="shared" ca="1" si="280"/>
        <v>0</v>
      </c>
      <c r="R603" s="306">
        <f t="shared" ca="1" si="281"/>
        <v>0</v>
      </c>
      <c r="S603" s="307">
        <f t="shared" ca="1" si="282"/>
        <v>0.4270000000000001</v>
      </c>
      <c r="T603" s="304">
        <f t="shared" ca="1" si="262"/>
        <v>4.1888700000000014</v>
      </c>
      <c r="U603" s="311">
        <f t="shared" ca="1" si="263"/>
        <v>0</v>
      </c>
      <c r="V603" s="306">
        <f t="shared" ca="1" si="264"/>
        <v>1.2255109449583848</v>
      </c>
      <c r="W603" s="304">
        <f t="shared" ca="1" si="265"/>
        <v>3.5488580412305502</v>
      </c>
      <c r="Y603" s="314" t="str">
        <f t="shared" ca="1" si="283"/>
        <v/>
      </c>
      <c r="Z603" s="315" t="str">
        <f t="shared" ca="1" si="284"/>
        <v/>
      </c>
      <c r="AA603" s="316" t="str">
        <f t="shared" ca="1" si="285"/>
        <v/>
      </c>
      <c r="AC603" s="310" t="e">
        <f t="shared" ca="1" si="286"/>
        <v>#N/A</v>
      </c>
      <c r="AD603" s="323" t="e">
        <f t="shared" ca="1" si="287"/>
        <v>#N/A</v>
      </c>
      <c r="AE603" s="324" t="e">
        <f t="shared" ca="1" si="266"/>
        <v>#N/A</v>
      </c>
      <c r="AG603" s="306">
        <f t="shared" ca="1" si="288"/>
        <v>1.4738267710024111</v>
      </c>
      <c r="AH603" s="304">
        <f t="shared" ca="1" si="289"/>
        <v>-8.3110917941692986</v>
      </c>
    </row>
    <row r="604" spans="1:34" x14ac:dyDescent="0.3">
      <c r="A604" s="347">
        <f t="shared" ca="1" si="267"/>
        <v>1E-4</v>
      </c>
      <c r="B604" s="304">
        <f t="shared" ca="1" si="268"/>
        <v>16.125899999999902</v>
      </c>
      <c r="D604" s="306">
        <f t="shared" ca="1" si="269"/>
        <v>-0.59392491365354583</v>
      </c>
      <c r="E604" s="307">
        <f t="shared" ca="1" si="270"/>
        <v>-1.5201055257739231</v>
      </c>
      <c r="F604" s="304">
        <f t="shared" ca="1" si="271"/>
        <v>1.6320133616324308</v>
      </c>
      <c r="G604" s="306">
        <f t="shared" ca="1" si="272"/>
        <v>3.7389496169936658</v>
      </c>
      <c r="H604" s="307">
        <f t="shared" ca="1" si="273"/>
        <v>-52.188550601443062</v>
      </c>
      <c r="I604" s="304">
        <f t="shared" ca="1" si="274"/>
        <v>52.322314151017821</v>
      </c>
      <c r="J604" s="306">
        <f t="shared" ca="1" si="275"/>
        <v>150.09587023194715</v>
      </c>
      <c r="K604" s="307">
        <f t="shared" ca="1" si="276"/>
        <v>-4.1753284275531737</v>
      </c>
      <c r="L604" s="304">
        <f t="shared" ca="1" si="261"/>
        <v>150.15393310920447</v>
      </c>
      <c r="M604" s="306">
        <f t="shared" ca="1" si="277"/>
        <v>-1.4992754243880568</v>
      </c>
      <c r="N604" s="304">
        <f t="shared" ca="1" si="278"/>
        <v>-85.902154145121031</v>
      </c>
      <c r="P604" s="310">
        <f t="shared" ca="1" si="279"/>
        <v>23</v>
      </c>
      <c r="Q604" s="304">
        <f t="shared" ca="1" si="280"/>
        <v>0</v>
      </c>
      <c r="R604" s="306">
        <f t="shared" ca="1" si="281"/>
        <v>0</v>
      </c>
      <c r="S604" s="307">
        <f t="shared" ca="1" si="282"/>
        <v>0.4270000000000001</v>
      </c>
      <c r="T604" s="304">
        <f t="shared" ca="1" si="262"/>
        <v>4.1888700000000014</v>
      </c>
      <c r="U604" s="311">
        <f t="shared" ca="1" si="263"/>
        <v>0</v>
      </c>
      <c r="V604" s="306">
        <f t="shared" ca="1" si="264"/>
        <v>1.2255115845340481</v>
      </c>
      <c r="W604" s="304">
        <f t="shared" ca="1" si="265"/>
        <v>3.5488798857530943</v>
      </c>
      <c r="Y604" s="314" t="str">
        <f t="shared" ca="1" si="283"/>
        <v/>
      </c>
      <c r="Z604" s="315" t="str">
        <f t="shared" ca="1" si="284"/>
        <v/>
      </c>
      <c r="AA604" s="316" t="str">
        <f t="shared" ca="1" si="285"/>
        <v/>
      </c>
      <c r="AC604" s="310" t="e">
        <f t="shared" ca="1" si="286"/>
        <v>#N/A</v>
      </c>
      <c r="AD604" s="323" t="e">
        <f t="shared" ca="1" si="287"/>
        <v>#N/A</v>
      </c>
      <c r="AE604" s="324" t="e">
        <f t="shared" ca="1" si="266"/>
        <v>#N/A</v>
      </c>
      <c r="AG604" s="306">
        <f t="shared" ca="1" si="288"/>
        <v>1.4737765507739446</v>
      </c>
      <c r="AH604" s="304">
        <f t="shared" ca="1" si="289"/>
        <v>-8.3111429537015198</v>
      </c>
    </row>
    <row r="605" spans="1:34" x14ac:dyDescent="0.3">
      <c r="A605" s="347">
        <f t="shared" ca="1" si="267"/>
        <v>1E-4</v>
      </c>
      <c r="B605" s="304">
        <f t="shared" ca="1" si="268"/>
        <v>16.125999999999902</v>
      </c>
      <c r="D605" s="306">
        <f t="shared" ca="1" si="269"/>
        <v>-0.59391746228023201</v>
      </c>
      <c r="E605" s="307">
        <f t="shared" ca="1" si="270"/>
        <v>-1.5200537026720244</v>
      </c>
      <c r="F605" s="304">
        <f t="shared" ca="1" si="271"/>
        <v>1.6319623803900389</v>
      </c>
      <c r="G605" s="306">
        <f t="shared" ca="1" si="272"/>
        <v>3.7388902252474376</v>
      </c>
      <c r="H605" s="307">
        <f t="shared" ca="1" si="273"/>
        <v>-52.18870260681333</v>
      </c>
      <c r="I605" s="304">
        <f t="shared" ca="1" si="274"/>
        <v>52.322461523697974</v>
      </c>
      <c r="J605" s="306">
        <f t="shared" ca="1" si="275"/>
        <v>150.09587023194715</v>
      </c>
      <c r="K605" s="307">
        <f t="shared" ca="1" si="276"/>
        <v>-4.1805472902135863</v>
      </c>
      <c r="L605" s="304">
        <f t="shared" ca="1" si="261"/>
        <v>150.15407832067442</v>
      </c>
      <c r="M605" s="306">
        <f t="shared" ca="1" si="277"/>
        <v>-1.4992767641989642</v>
      </c>
      <c r="N605" s="304">
        <f t="shared" ca="1" si="278"/>
        <v>-85.902230910631374</v>
      </c>
      <c r="P605" s="310">
        <f t="shared" ca="1" si="279"/>
        <v>23</v>
      </c>
      <c r="Q605" s="304">
        <f t="shared" ca="1" si="280"/>
        <v>0</v>
      </c>
      <c r="R605" s="306">
        <f t="shared" ca="1" si="281"/>
        <v>0</v>
      </c>
      <c r="S605" s="307">
        <f t="shared" ca="1" si="282"/>
        <v>0.4270000000000001</v>
      </c>
      <c r="T605" s="304">
        <f t="shared" ca="1" si="262"/>
        <v>4.1888700000000014</v>
      </c>
      <c r="U605" s="311">
        <f t="shared" ca="1" si="263"/>
        <v>0</v>
      </c>
      <c r="V605" s="306">
        <f t="shared" ca="1" si="264"/>
        <v>1.2255122241119074</v>
      </c>
      <c r="W605" s="304">
        <f t="shared" ca="1" si="265"/>
        <v>3.548901729677937</v>
      </c>
      <c r="Y605" s="314" t="str">
        <f t="shared" ca="1" si="283"/>
        <v/>
      </c>
      <c r="Z605" s="315" t="str">
        <f t="shared" ca="1" si="284"/>
        <v/>
      </c>
      <c r="AA605" s="316" t="str">
        <f t="shared" ca="1" si="285"/>
        <v/>
      </c>
      <c r="AC605" s="310" t="e">
        <f t="shared" ca="1" si="286"/>
        <v>#N/A</v>
      </c>
      <c r="AD605" s="323" t="e">
        <f t="shared" ca="1" si="287"/>
        <v>#N/A</v>
      </c>
      <c r="AE605" s="324" t="e">
        <f t="shared" ca="1" si="266"/>
        <v>#N/A</v>
      </c>
      <c r="AG605" s="306">
        <f t="shared" ca="1" si="288"/>
        <v>1.473726331907498</v>
      </c>
      <c r="AH605" s="304">
        <f t="shared" ca="1" si="289"/>
        <v>-8.3111941118339434</v>
      </c>
    </row>
    <row r="606" spans="1:34" x14ac:dyDescent="0.3">
      <c r="A606" s="347">
        <f t="shared" ca="1" si="267"/>
        <v>1E-4</v>
      </c>
      <c r="B606" s="304">
        <f t="shared" ca="1" si="268"/>
        <v>16.126099999999902</v>
      </c>
      <c r="D606" s="306">
        <f t="shared" ca="1" si="269"/>
        <v>-0.59391001090809237</v>
      </c>
      <c r="E606" s="307">
        <f t="shared" ca="1" si="270"/>
        <v>-1.5200018809885272</v>
      </c>
      <c r="F606" s="304">
        <f t="shared" ca="1" si="271"/>
        <v>1.6319114005562654</v>
      </c>
      <c r="G606" s="306">
        <f t="shared" ca="1" si="272"/>
        <v>3.7388308342463468</v>
      </c>
      <c r="H606" s="307">
        <f t="shared" ca="1" si="273"/>
        <v>-52.188854607001431</v>
      </c>
      <c r="I606" s="304">
        <f t="shared" ca="1" si="274"/>
        <v>52.322608891356381</v>
      </c>
      <c r="J606" s="306">
        <f t="shared" ca="1" si="275"/>
        <v>150.09587023194715</v>
      </c>
      <c r="K606" s="307">
        <f t="shared" ca="1" si="276"/>
        <v>-4.1857661680742773</v>
      </c>
      <c r="L606" s="304">
        <f t="shared" ca="1" si="261"/>
        <v>150.15422371381803</v>
      </c>
      <c r="M606" s="306">
        <f t="shared" ca="1" si="277"/>
        <v>-1.4992781039810421</v>
      </c>
      <c r="N606" s="304">
        <f t="shared" ca="1" si="278"/>
        <v>-85.902307674489904</v>
      </c>
      <c r="P606" s="310">
        <f t="shared" ca="1" si="279"/>
        <v>23</v>
      </c>
      <c r="Q606" s="304">
        <f t="shared" ca="1" si="280"/>
        <v>0</v>
      </c>
      <c r="R606" s="306">
        <f t="shared" ca="1" si="281"/>
        <v>0</v>
      </c>
      <c r="S606" s="307">
        <f t="shared" ca="1" si="282"/>
        <v>0.4270000000000001</v>
      </c>
      <c r="T606" s="304">
        <f t="shared" ca="1" si="262"/>
        <v>4.1888700000000014</v>
      </c>
      <c r="U606" s="311">
        <f t="shared" ca="1" si="263"/>
        <v>0</v>
      </c>
      <c r="V606" s="306">
        <f t="shared" ca="1" si="264"/>
        <v>1.2255128636919637</v>
      </c>
      <c r="W606" s="304">
        <f t="shared" ca="1" si="265"/>
        <v>3.5489235730050903</v>
      </c>
      <c r="Y606" s="314" t="str">
        <f t="shared" ca="1" si="283"/>
        <v/>
      </c>
      <c r="Z606" s="315" t="str">
        <f t="shared" ca="1" si="284"/>
        <v/>
      </c>
      <c r="AA606" s="316" t="str">
        <f t="shared" ca="1" si="285"/>
        <v/>
      </c>
      <c r="AC606" s="310" t="e">
        <f t="shared" ca="1" si="286"/>
        <v>#N/A</v>
      </c>
      <c r="AD606" s="323" t="e">
        <f t="shared" ca="1" si="287"/>
        <v>#N/A</v>
      </c>
      <c r="AE606" s="324" t="e">
        <f t="shared" ca="1" si="266"/>
        <v>#N/A</v>
      </c>
      <c r="AG606" s="306">
        <f t="shared" ca="1" si="288"/>
        <v>1.4736761144030481</v>
      </c>
      <c r="AH606" s="304">
        <f t="shared" ca="1" si="289"/>
        <v>-8.3112452685665961</v>
      </c>
    </row>
    <row r="607" spans="1:34" x14ac:dyDescent="0.3">
      <c r="A607" s="347">
        <f t="shared" ca="1" si="267"/>
        <v>1E-4</v>
      </c>
      <c r="B607" s="304">
        <f t="shared" ca="1" si="268"/>
        <v>16.126199999999901</v>
      </c>
      <c r="D607" s="306">
        <f t="shared" ca="1" si="269"/>
        <v>-0.59390255953713156</v>
      </c>
      <c r="E607" s="307">
        <f t="shared" ca="1" si="270"/>
        <v>-1.5199500607233993</v>
      </c>
      <c r="F607" s="304">
        <f t="shared" ca="1" si="271"/>
        <v>1.6318604221310784</v>
      </c>
      <c r="G607" s="306">
        <f t="shared" ca="1" si="272"/>
        <v>3.7387714439903932</v>
      </c>
      <c r="H607" s="307">
        <f t="shared" ca="1" si="273"/>
        <v>-52.189006602007503</v>
      </c>
      <c r="I607" s="304">
        <f t="shared" ca="1" si="274"/>
        <v>52.322756253993163</v>
      </c>
      <c r="J607" s="306">
        <f t="shared" ca="1" si="275"/>
        <v>150.09587023194715</v>
      </c>
      <c r="K607" s="307">
        <f t="shared" ca="1" si="276"/>
        <v>-4.1909850611347279</v>
      </c>
      <c r="L607" s="304">
        <f t="shared" ca="1" si="261"/>
        <v>150.15436928863633</v>
      </c>
      <c r="M607" s="306">
        <f t="shared" ca="1" si="277"/>
        <v>-1.4992794437342911</v>
      </c>
      <c r="N607" s="304">
        <f t="shared" ca="1" si="278"/>
        <v>-85.902384436696664</v>
      </c>
      <c r="P607" s="310">
        <f t="shared" ca="1" si="279"/>
        <v>23</v>
      </c>
      <c r="Q607" s="304">
        <f t="shared" ca="1" si="280"/>
        <v>0</v>
      </c>
      <c r="R607" s="306">
        <f t="shared" ca="1" si="281"/>
        <v>0</v>
      </c>
      <c r="S607" s="307">
        <f t="shared" ca="1" si="282"/>
        <v>0.4270000000000001</v>
      </c>
      <c r="T607" s="304">
        <f t="shared" ca="1" si="262"/>
        <v>4.1888700000000014</v>
      </c>
      <c r="U607" s="311">
        <f t="shared" ca="1" si="263"/>
        <v>0</v>
      </c>
      <c r="V607" s="306">
        <f t="shared" ca="1" si="264"/>
        <v>1.2255135032742166</v>
      </c>
      <c r="W607" s="304">
        <f t="shared" ca="1" si="265"/>
        <v>3.5489454157345626</v>
      </c>
      <c r="Y607" s="314" t="str">
        <f t="shared" ca="1" si="283"/>
        <v/>
      </c>
      <c r="Z607" s="315" t="str">
        <f t="shared" ca="1" si="284"/>
        <v/>
      </c>
      <c r="AA607" s="316" t="str">
        <f t="shared" ca="1" si="285"/>
        <v/>
      </c>
      <c r="AC607" s="310" t="e">
        <f t="shared" ca="1" si="286"/>
        <v>#N/A</v>
      </c>
      <c r="AD607" s="323" t="e">
        <f t="shared" ca="1" si="287"/>
        <v>#N/A</v>
      </c>
      <c r="AE607" s="324" t="e">
        <f t="shared" ca="1" si="266"/>
        <v>#N/A</v>
      </c>
      <c r="AG607" s="306">
        <f t="shared" ca="1" si="288"/>
        <v>1.4736258982605648</v>
      </c>
      <c r="AH607" s="304">
        <f t="shared" ca="1" si="289"/>
        <v>-8.3112964238995062</v>
      </c>
    </row>
    <row r="608" spans="1:34" x14ac:dyDescent="0.3">
      <c r="A608" s="347">
        <f t="shared" ca="1" si="267"/>
        <v>1E-4</v>
      </c>
      <c r="B608" s="304">
        <f t="shared" ca="1" si="268"/>
        <v>16.126299999999901</v>
      </c>
      <c r="D608" s="306">
        <f t="shared" ca="1" si="269"/>
        <v>-0.59389510816735769</v>
      </c>
      <c r="E608" s="307">
        <f t="shared" ca="1" si="270"/>
        <v>-1.5198982418766231</v>
      </c>
      <c r="F608" s="304">
        <f t="shared" ca="1" si="271"/>
        <v>1.6318094451144618</v>
      </c>
      <c r="G608" s="306">
        <f t="shared" ca="1" si="272"/>
        <v>3.7387120544795764</v>
      </c>
      <c r="H608" s="307">
        <f t="shared" ca="1" si="273"/>
        <v>-52.189158591831692</v>
      </c>
      <c r="I608" s="304">
        <f t="shared" ca="1" si="274"/>
        <v>52.322903611608467</v>
      </c>
      <c r="J608" s="306">
        <f t="shared" ca="1" si="275"/>
        <v>150.09587023194715</v>
      </c>
      <c r="K608" s="307">
        <f t="shared" ca="1" si="276"/>
        <v>-4.1962039693944195</v>
      </c>
      <c r="L608" s="304">
        <f t="shared" ca="1" si="261"/>
        <v>150.15451504513035</v>
      </c>
      <c r="M608" s="306">
        <f t="shared" ca="1" si="277"/>
        <v>-1.4992807834587121</v>
      </c>
      <c r="N608" s="304">
        <f t="shared" ca="1" si="278"/>
        <v>-85.902461197251696</v>
      </c>
      <c r="P608" s="310">
        <f t="shared" ca="1" si="279"/>
        <v>23</v>
      </c>
      <c r="Q608" s="304">
        <f t="shared" ca="1" si="280"/>
        <v>0</v>
      </c>
      <c r="R608" s="306">
        <f t="shared" ca="1" si="281"/>
        <v>0</v>
      </c>
      <c r="S608" s="307">
        <f t="shared" ca="1" si="282"/>
        <v>0.4270000000000001</v>
      </c>
      <c r="T608" s="304">
        <f t="shared" ca="1" si="262"/>
        <v>4.1888700000000014</v>
      </c>
      <c r="U608" s="311">
        <f t="shared" ca="1" si="263"/>
        <v>0</v>
      </c>
      <c r="V608" s="306">
        <f t="shared" ca="1" si="264"/>
        <v>1.225514142858666</v>
      </c>
      <c r="W608" s="304">
        <f t="shared" ca="1" si="265"/>
        <v>3.5489672578663689</v>
      </c>
      <c r="Y608" s="314" t="str">
        <f t="shared" ca="1" si="283"/>
        <v/>
      </c>
      <c r="Z608" s="315" t="str">
        <f t="shared" ca="1" si="284"/>
        <v/>
      </c>
      <c r="AA608" s="316" t="str">
        <f t="shared" ca="1" si="285"/>
        <v/>
      </c>
      <c r="AC608" s="310" t="e">
        <f t="shared" ca="1" si="286"/>
        <v>#N/A</v>
      </c>
      <c r="AD608" s="323" t="e">
        <f t="shared" ca="1" si="287"/>
        <v>#N/A</v>
      </c>
      <c r="AE608" s="324" t="e">
        <f t="shared" ca="1" si="266"/>
        <v>#N/A</v>
      </c>
      <c r="AG608" s="306">
        <f t="shared" ca="1" si="288"/>
        <v>1.4735756834800302</v>
      </c>
      <c r="AH608" s="304">
        <f t="shared" ca="1" si="289"/>
        <v>-8.3113475778326968</v>
      </c>
    </row>
    <row r="609" spans="1:34" x14ac:dyDescent="0.3">
      <c r="A609" s="347">
        <f t="shared" ca="1" si="267"/>
        <v>1E-4</v>
      </c>
      <c r="B609" s="304">
        <f t="shared" ca="1" si="268"/>
        <v>16.126399999999901</v>
      </c>
      <c r="D609" s="306">
        <f t="shared" ca="1" si="269"/>
        <v>-0.59388765679877586</v>
      </c>
      <c r="E609" s="307">
        <f t="shared" ca="1" si="270"/>
        <v>-1.5198464244481595</v>
      </c>
      <c r="F609" s="304">
        <f t="shared" ca="1" si="271"/>
        <v>1.6317584695063776</v>
      </c>
      <c r="G609" s="306">
        <f t="shared" ca="1" si="272"/>
        <v>3.7386526657138965</v>
      </c>
      <c r="H609" s="307">
        <f t="shared" ca="1" si="273"/>
        <v>-52.189310576474135</v>
      </c>
      <c r="I609" s="304">
        <f t="shared" ca="1" si="274"/>
        <v>52.32305096420243</v>
      </c>
      <c r="J609" s="306">
        <f t="shared" ca="1" si="275"/>
        <v>150.09587023194715</v>
      </c>
      <c r="K609" s="307">
        <f t="shared" ca="1" si="276"/>
        <v>-4.2014228928528352</v>
      </c>
      <c r="L609" s="304">
        <f t="shared" ca="1" si="261"/>
        <v>150.15466098330117</v>
      </c>
      <c r="M609" s="306">
        <f t="shared" ca="1" si="277"/>
        <v>-1.4992821231543061</v>
      </c>
      <c r="N609" s="304">
        <f t="shared" ca="1" si="278"/>
        <v>-85.902537956155058</v>
      </c>
      <c r="P609" s="310">
        <f t="shared" ca="1" si="279"/>
        <v>23</v>
      </c>
      <c r="Q609" s="304">
        <f t="shared" ca="1" si="280"/>
        <v>0</v>
      </c>
      <c r="R609" s="306">
        <f t="shared" ca="1" si="281"/>
        <v>0</v>
      </c>
      <c r="S609" s="307">
        <f t="shared" ca="1" si="282"/>
        <v>0.4270000000000001</v>
      </c>
      <c r="T609" s="304">
        <f t="shared" ca="1" si="262"/>
        <v>4.1888700000000014</v>
      </c>
      <c r="U609" s="311">
        <f t="shared" ca="1" si="263"/>
        <v>0</v>
      </c>
      <c r="V609" s="306">
        <f t="shared" ca="1" si="264"/>
        <v>1.2255147824453121</v>
      </c>
      <c r="W609" s="304">
        <f t="shared" ca="1" si="265"/>
        <v>3.5489890994005209</v>
      </c>
      <c r="Y609" s="314" t="str">
        <f t="shared" ca="1" si="283"/>
        <v/>
      </c>
      <c r="Z609" s="315" t="str">
        <f t="shared" ca="1" si="284"/>
        <v/>
      </c>
      <c r="AA609" s="316" t="str">
        <f t="shared" ca="1" si="285"/>
        <v/>
      </c>
      <c r="AC609" s="310" t="e">
        <f t="shared" ca="1" si="286"/>
        <v>#N/A</v>
      </c>
      <c r="AD609" s="323" t="e">
        <f t="shared" ca="1" si="287"/>
        <v>#N/A</v>
      </c>
      <c r="AE609" s="324" t="e">
        <f t="shared" ca="1" si="266"/>
        <v>#N/A</v>
      </c>
      <c r="AG609" s="306">
        <f t="shared" ca="1" si="288"/>
        <v>1.4735254700614107</v>
      </c>
      <c r="AH609" s="304">
        <f t="shared" ca="1" si="289"/>
        <v>-8.3113987303662018</v>
      </c>
    </row>
    <row r="610" spans="1:34" x14ac:dyDescent="0.3">
      <c r="A610" s="347">
        <f t="shared" ca="1" si="267"/>
        <v>1E-4</v>
      </c>
      <c r="B610" s="304">
        <f t="shared" ca="1" si="268"/>
        <v>16.126499999999901</v>
      </c>
      <c r="D610" s="306">
        <f t="shared" ca="1" si="269"/>
        <v>-0.59388020543138897</v>
      </c>
      <c r="E610" s="307">
        <f t="shared" ca="1" si="270"/>
        <v>-1.5197946084379836</v>
      </c>
      <c r="F610" s="304">
        <f t="shared" ca="1" si="271"/>
        <v>1.6317074953068007</v>
      </c>
      <c r="G610" s="306">
        <f t="shared" ca="1" si="272"/>
        <v>3.7385932776933535</v>
      </c>
      <c r="H610" s="307">
        <f t="shared" ca="1" si="273"/>
        <v>-52.189462555934981</v>
      </c>
      <c r="I610" s="304">
        <f t="shared" ca="1" si="274"/>
        <v>52.32319831177518</v>
      </c>
      <c r="J610" s="306">
        <f t="shared" ca="1" si="275"/>
        <v>150.09587023194715</v>
      </c>
      <c r="K610" s="307">
        <f t="shared" ca="1" si="276"/>
        <v>-4.2066418315094554</v>
      </c>
      <c r="L610" s="304">
        <f t="shared" ca="1" si="261"/>
        <v>150.15480710314978</v>
      </c>
      <c r="M610" s="306">
        <f t="shared" ca="1" si="277"/>
        <v>-1.4992834628210736</v>
      </c>
      <c r="N610" s="304">
        <f t="shared" ca="1" si="278"/>
        <v>-85.902614713406791</v>
      </c>
      <c r="P610" s="310">
        <f t="shared" ca="1" si="279"/>
        <v>23</v>
      </c>
      <c r="Q610" s="304">
        <f t="shared" ca="1" si="280"/>
        <v>0</v>
      </c>
      <c r="R610" s="306">
        <f t="shared" ca="1" si="281"/>
        <v>0</v>
      </c>
      <c r="S610" s="307">
        <f t="shared" ca="1" si="282"/>
        <v>0.4270000000000001</v>
      </c>
      <c r="T610" s="304">
        <f t="shared" ca="1" si="262"/>
        <v>4.1888700000000014</v>
      </c>
      <c r="U610" s="311">
        <f t="shared" ca="1" si="263"/>
        <v>0</v>
      </c>
      <c r="V610" s="306">
        <f t="shared" ca="1" si="264"/>
        <v>1.2255154220341544</v>
      </c>
      <c r="W610" s="304">
        <f t="shared" ca="1" si="265"/>
        <v>3.5490109403370274</v>
      </c>
      <c r="Y610" s="314" t="str">
        <f t="shared" ca="1" si="283"/>
        <v/>
      </c>
      <c r="Z610" s="315" t="str">
        <f t="shared" ca="1" si="284"/>
        <v/>
      </c>
      <c r="AA610" s="316" t="str">
        <f t="shared" ca="1" si="285"/>
        <v/>
      </c>
      <c r="AC610" s="310" t="e">
        <f t="shared" ca="1" si="286"/>
        <v>#N/A</v>
      </c>
      <c r="AD610" s="323" t="e">
        <f t="shared" ca="1" si="287"/>
        <v>#N/A</v>
      </c>
      <c r="AE610" s="324" t="e">
        <f t="shared" ca="1" si="266"/>
        <v>#N/A</v>
      </c>
      <c r="AG610" s="306">
        <f t="shared" ca="1" si="288"/>
        <v>1.4734752580046795</v>
      </c>
      <c r="AH610" s="304">
        <f t="shared" ca="1" si="289"/>
        <v>-8.3114498815000477</v>
      </c>
    </row>
    <row r="611" spans="1:34" x14ac:dyDescent="0.3">
      <c r="A611" s="347">
        <f t="shared" ca="1" si="267"/>
        <v>1E-4</v>
      </c>
      <c r="B611" s="304">
        <f t="shared" ca="1" si="268"/>
        <v>16.1265999999999</v>
      </c>
      <c r="D611" s="306">
        <f t="shared" ca="1" si="269"/>
        <v>-0.59387275406520468</v>
      </c>
      <c r="E611" s="307">
        <f t="shared" ca="1" si="270"/>
        <v>-1.5197427938460759</v>
      </c>
      <c r="F611" s="304">
        <f t="shared" ca="1" si="271"/>
        <v>1.6316565225157125</v>
      </c>
      <c r="G611" s="306">
        <f t="shared" ca="1" si="272"/>
        <v>3.7385338904179468</v>
      </c>
      <c r="H611" s="307">
        <f t="shared" ca="1" si="273"/>
        <v>-52.189614530214364</v>
      </c>
      <c r="I611" s="304">
        <f t="shared" ca="1" si="274"/>
        <v>52.323345654326864</v>
      </c>
      <c r="J611" s="306">
        <f t="shared" ca="1" si="275"/>
        <v>150.09587023194715</v>
      </c>
      <c r="K611" s="307">
        <f t="shared" ca="1" si="276"/>
        <v>-4.2118607853637631</v>
      </c>
      <c r="L611" s="304">
        <f t="shared" ca="1" si="261"/>
        <v>150.15495340467729</v>
      </c>
      <c r="M611" s="306">
        <f t="shared" ca="1" si="277"/>
        <v>-1.499284802459016</v>
      </c>
      <c r="N611" s="304">
        <f t="shared" ca="1" si="278"/>
        <v>-85.902691469006967</v>
      </c>
      <c r="P611" s="310">
        <f t="shared" ca="1" si="279"/>
        <v>23</v>
      </c>
      <c r="Q611" s="304">
        <f t="shared" ca="1" si="280"/>
        <v>0</v>
      </c>
      <c r="R611" s="306">
        <f t="shared" ca="1" si="281"/>
        <v>0</v>
      </c>
      <c r="S611" s="307">
        <f t="shared" ca="1" si="282"/>
        <v>0.4270000000000001</v>
      </c>
      <c r="T611" s="304">
        <f t="shared" ca="1" si="262"/>
        <v>4.1888700000000014</v>
      </c>
      <c r="U611" s="311">
        <f t="shared" ca="1" si="263"/>
        <v>0</v>
      </c>
      <c r="V611" s="306">
        <f t="shared" ca="1" si="264"/>
        <v>1.2255160616251932</v>
      </c>
      <c r="W611" s="304">
        <f t="shared" ca="1" si="265"/>
        <v>3.5490327806759034</v>
      </c>
      <c r="Y611" s="314" t="str">
        <f t="shared" ca="1" si="283"/>
        <v/>
      </c>
      <c r="Z611" s="315" t="str">
        <f t="shared" ca="1" si="284"/>
        <v/>
      </c>
      <c r="AA611" s="316" t="str">
        <f t="shared" ca="1" si="285"/>
        <v/>
      </c>
      <c r="AC611" s="310" t="e">
        <f t="shared" ca="1" si="286"/>
        <v>#N/A</v>
      </c>
      <c r="AD611" s="323" t="e">
        <f t="shared" ca="1" si="287"/>
        <v>#N/A</v>
      </c>
      <c r="AE611" s="324" t="e">
        <f t="shared" ca="1" si="266"/>
        <v>#N/A</v>
      </c>
      <c r="AG611" s="306">
        <f t="shared" ca="1" si="288"/>
        <v>1.4734250473098207</v>
      </c>
      <c r="AH611" s="304">
        <f t="shared" ca="1" si="289"/>
        <v>-8.3115010312342541</v>
      </c>
    </row>
    <row r="612" spans="1:34" x14ac:dyDescent="0.3">
      <c r="A612" s="347">
        <f t="shared" ca="1" si="267"/>
        <v>1E-4</v>
      </c>
      <c r="B612" s="304">
        <f t="shared" ca="1" si="268"/>
        <v>16.1266999999999</v>
      </c>
      <c r="D612" s="306">
        <f t="shared" ca="1" si="269"/>
        <v>-0.59386530270022486</v>
      </c>
      <c r="E612" s="307">
        <f t="shared" ca="1" si="270"/>
        <v>-1.5196909806723973</v>
      </c>
      <c r="F612" s="304">
        <f t="shared" ca="1" si="271"/>
        <v>1.631605551133074</v>
      </c>
      <c r="G612" s="306">
        <f t="shared" ca="1" si="272"/>
        <v>3.738474503887677</v>
      </c>
      <c r="H612" s="307">
        <f t="shared" ca="1" si="273"/>
        <v>-52.189766499312434</v>
      </c>
      <c r="I612" s="304">
        <f t="shared" ca="1" si="274"/>
        <v>52.323492991857613</v>
      </c>
      <c r="J612" s="306">
        <f t="shared" ca="1" si="275"/>
        <v>150.09587023194715</v>
      </c>
      <c r="K612" s="307">
        <f t="shared" ca="1" si="276"/>
        <v>-4.2170797544152396</v>
      </c>
      <c r="L612" s="304">
        <f t="shared" ca="1" si="261"/>
        <v>150.15509988788466</v>
      </c>
      <c r="M612" s="306">
        <f t="shared" ca="1" si="277"/>
        <v>-1.4992861420681336</v>
      </c>
      <c r="N612" s="304">
        <f t="shared" ca="1" si="278"/>
        <v>-85.902768222955601</v>
      </c>
      <c r="P612" s="310">
        <f t="shared" ca="1" si="279"/>
        <v>23</v>
      </c>
      <c r="Q612" s="304">
        <f t="shared" ca="1" si="280"/>
        <v>0</v>
      </c>
      <c r="R612" s="306">
        <f t="shared" ca="1" si="281"/>
        <v>0</v>
      </c>
      <c r="S612" s="307">
        <f t="shared" ca="1" si="282"/>
        <v>0.4270000000000001</v>
      </c>
      <c r="T612" s="304">
        <f t="shared" ca="1" si="262"/>
        <v>4.1888700000000014</v>
      </c>
      <c r="U612" s="311">
        <f t="shared" ca="1" si="263"/>
        <v>0</v>
      </c>
      <c r="V612" s="306">
        <f t="shared" ca="1" si="264"/>
        <v>1.2255167012184285</v>
      </c>
      <c r="W612" s="304">
        <f t="shared" ca="1" si="265"/>
        <v>3.5490546204171589</v>
      </c>
      <c r="Y612" s="314" t="str">
        <f t="shared" ca="1" si="283"/>
        <v/>
      </c>
      <c r="Z612" s="315" t="str">
        <f t="shared" ca="1" si="284"/>
        <v/>
      </c>
      <c r="AA612" s="316" t="str">
        <f t="shared" ca="1" si="285"/>
        <v/>
      </c>
      <c r="AC612" s="310" t="e">
        <f t="shared" ca="1" si="286"/>
        <v>#N/A</v>
      </c>
      <c r="AD612" s="323" t="e">
        <f t="shared" ca="1" si="287"/>
        <v>#N/A</v>
      </c>
      <c r="AE612" s="324" t="e">
        <f t="shared" ca="1" si="266"/>
        <v>#N/A</v>
      </c>
      <c r="AG612" s="306">
        <f t="shared" ca="1" si="288"/>
        <v>1.4733748379767952</v>
      </c>
      <c r="AH612" s="304">
        <f t="shared" ca="1" si="289"/>
        <v>-8.3115521795688583</v>
      </c>
    </row>
    <row r="613" spans="1:34" x14ac:dyDescent="0.3">
      <c r="A613" s="347">
        <f t="shared" ca="1" si="267"/>
        <v>1E-4</v>
      </c>
      <c r="B613" s="304">
        <f t="shared" ca="1" si="268"/>
        <v>16.1267999999999</v>
      </c>
      <c r="D613" s="306">
        <f t="shared" ca="1" si="269"/>
        <v>-0.59385785133645741</v>
      </c>
      <c r="E613" s="307">
        <f t="shared" ca="1" si="270"/>
        <v>-1.5196391689169246</v>
      </c>
      <c r="F613" s="304">
        <f t="shared" ca="1" si="271"/>
        <v>1.6315545811588636</v>
      </c>
      <c r="G613" s="306">
        <f t="shared" ca="1" si="272"/>
        <v>3.7384151181025436</v>
      </c>
      <c r="H613" s="307">
        <f t="shared" ca="1" si="273"/>
        <v>-52.189918463229326</v>
      </c>
      <c r="I613" s="304">
        <f t="shared" ca="1" si="274"/>
        <v>52.32364032436756</v>
      </c>
      <c r="J613" s="306">
        <f t="shared" ca="1" si="275"/>
        <v>150.09587023194715</v>
      </c>
      <c r="K613" s="307">
        <f t="shared" ca="1" si="276"/>
        <v>-4.2222987386633664</v>
      </c>
      <c r="L613" s="304">
        <f t="shared" ca="1" si="261"/>
        <v>150.15524655277295</v>
      </c>
      <c r="M613" s="306">
        <f t="shared" ca="1" si="277"/>
        <v>-1.4992874816484274</v>
      </c>
      <c r="N613" s="304">
        <f t="shared" ca="1" si="278"/>
        <v>-85.902844975252762</v>
      </c>
      <c r="P613" s="310">
        <f t="shared" ca="1" si="279"/>
        <v>23</v>
      </c>
      <c r="Q613" s="304">
        <f t="shared" ca="1" si="280"/>
        <v>0</v>
      </c>
      <c r="R613" s="306">
        <f t="shared" ca="1" si="281"/>
        <v>0</v>
      </c>
      <c r="S613" s="307">
        <f t="shared" ca="1" si="282"/>
        <v>0.4270000000000001</v>
      </c>
      <c r="T613" s="304">
        <f t="shared" ca="1" si="262"/>
        <v>4.1888700000000014</v>
      </c>
      <c r="U613" s="311">
        <f t="shared" ca="1" si="263"/>
        <v>0</v>
      </c>
      <c r="V613" s="306">
        <f t="shared" ca="1" si="264"/>
        <v>1.2255173408138595</v>
      </c>
      <c r="W613" s="304">
        <f t="shared" ca="1" si="265"/>
        <v>3.549076459560804</v>
      </c>
      <c r="Y613" s="314" t="str">
        <f t="shared" ca="1" si="283"/>
        <v/>
      </c>
      <c r="Z613" s="315" t="str">
        <f t="shared" ca="1" si="284"/>
        <v/>
      </c>
      <c r="AA613" s="316" t="str">
        <f t="shared" ca="1" si="285"/>
        <v/>
      </c>
      <c r="AC613" s="310" t="e">
        <f t="shared" ca="1" si="286"/>
        <v>#N/A</v>
      </c>
      <c r="AD613" s="323" t="e">
        <f t="shared" ca="1" si="287"/>
        <v>#N/A</v>
      </c>
      <c r="AE613" s="324" t="e">
        <f t="shared" ca="1" si="266"/>
        <v>#N/A</v>
      </c>
      <c r="AG613" s="306">
        <f t="shared" ca="1" si="288"/>
        <v>1.4733246300055889</v>
      </c>
      <c r="AH613" s="304">
        <f t="shared" ca="1" si="289"/>
        <v>-8.3116033265038833</v>
      </c>
    </row>
    <row r="614" spans="1:34" x14ac:dyDescent="0.3">
      <c r="A614" s="347">
        <f t="shared" ca="1" si="267"/>
        <v>1E-4</v>
      </c>
      <c r="B614" s="304">
        <f t="shared" ca="1" si="268"/>
        <v>16.1268999999999</v>
      </c>
      <c r="D614" s="306">
        <f t="shared" ca="1" si="269"/>
        <v>-0.59385039997390665</v>
      </c>
      <c r="E614" s="307">
        <f t="shared" ca="1" si="270"/>
        <v>-1.5195873585796349</v>
      </c>
      <c r="F614" s="304">
        <f t="shared" ca="1" si="271"/>
        <v>1.6315036125930584</v>
      </c>
      <c r="G614" s="306">
        <f t="shared" ca="1" si="272"/>
        <v>3.7383557330625461</v>
      </c>
      <c r="H614" s="307">
        <f t="shared" ca="1" si="273"/>
        <v>-52.190070421965181</v>
      </c>
      <c r="I614" s="304">
        <f t="shared" ca="1" si="274"/>
        <v>52.32378765185684</v>
      </c>
      <c r="J614" s="306">
        <f t="shared" ca="1" si="275"/>
        <v>150.09587023194715</v>
      </c>
      <c r="K614" s="307">
        <f t="shared" ca="1" si="276"/>
        <v>-4.2275177381076263</v>
      </c>
      <c r="L614" s="304">
        <f t="shared" ca="1" si="261"/>
        <v>150.15539339934324</v>
      </c>
      <c r="M614" s="306">
        <f t="shared" ca="1" si="277"/>
        <v>-1.4992888211998983</v>
      </c>
      <c r="N614" s="304">
        <f t="shared" ca="1" si="278"/>
        <v>-85.90292172589848</v>
      </c>
      <c r="P614" s="310">
        <f t="shared" ca="1" si="279"/>
        <v>23</v>
      </c>
      <c r="Q614" s="304">
        <f t="shared" ca="1" si="280"/>
        <v>0</v>
      </c>
      <c r="R614" s="306">
        <f t="shared" ca="1" si="281"/>
        <v>0</v>
      </c>
      <c r="S614" s="307">
        <f t="shared" ca="1" si="282"/>
        <v>0.4270000000000001</v>
      </c>
      <c r="T614" s="304">
        <f t="shared" ca="1" si="262"/>
        <v>4.1888700000000014</v>
      </c>
      <c r="U614" s="311">
        <f t="shared" ca="1" si="263"/>
        <v>0</v>
      </c>
      <c r="V614" s="306">
        <f t="shared" ca="1" si="264"/>
        <v>1.2255179804114873</v>
      </c>
      <c r="W614" s="304">
        <f t="shared" ca="1" si="265"/>
        <v>3.5490982981068533</v>
      </c>
      <c r="Y614" s="314" t="str">
        <f t="shared" ca="1" si="283"/>
        <v/>
      </c>
      <c r="Z614" s="315" t="str">
        <f t="shared" ca="1" si="284"/>
        <v/>
      </c>
      <c r="AA614" s="316" t="str">
        <f t="shared" ca="1" si="285"/>
        <v/>
      </c>
      <c r="AC614" s="310" t="e">
        <f t="shared" ca="1" si="286"/>
        <v>#N/A</v>
      </c>
      <c r="AD614" s="323" t="e">
        <f t="shared" ca="1" si="287"/>
        <v>#N/A</v>
      </c>
      <c r="AE614" s="324" t="e">
        <f t="shared" ca="1" si="266"/>
        <v>#N/A</v>
      </c>
      <c r="AG614" s="306">
        <f t="shared" ca="1" si="288"/>
        <v>1.4732744233961768</v>
      </c>
      <c r="AH614" s="304">
        <f t="shared" ca="1" si="289"/>
        <v>-8.3116544720393524</v>
      </c>
    </row>
    <row r="615" spans="1:34" x14ac:dyDescent="0.3">
      <c r="A615" s="347">
        <f t="shared" ca="1" si="267"/>
        <v>1E-4</v>
      </c>
      <c r="B615" s="304">
        <f t="shared" ca="1" si="268"/>
        <v>16.126999999999899</v>
      </c>
      <c r="D615" s="306">
        <f t="shared" ca="1" si="269"/>
        <v>-0.59384294861257814</v>
      </c>
      <c r="E615" s="307">
        <f t="shared" ca="1" si="270"/>
        <v>-1.5195355496604943</v>
      </c>
      <c r="F615" s="304">
        <f t="shared" ca="1" si="271"/>
        <v>1.6314526454356257</v>
      </c>
      <c r="G615" s="306">
        <f t="shared" ca="1" si="272"/>
        <v>3.738296348767685</v>
      </c>
      <c r="H615" s="307">
        <f t="shared" ca="1" si="273"/>
        <v>-52.19022237552015</v>
      </c>
      <c r="I615" s="304">
        <f t="shared" ca="1" si="274"/>
        <v>52.323934974325603</v>
      </c>
      <c r="J615" s="306">
        <f t="shared" ca="1" si="275"/>
        <v>150.09587023194715</v>
      </c>
      <c r="K615" s="307">
        <f t="shared" ca="1" si="276"/>
        <v>-4.2327367527475008</v>
      </c>
      <c r="L615" s="304">
        <f t="shared" ca="1" si="261"/>
        <v>150.15554042759652</v>
      </c>
      <c r="M615" s="306">
        <f t="shared" ca="1" si="277"/>
        <v>-1.4992901607225468</v>
      </c>
      <c r="N615" s="304">
        <f t="shared" ca="1" si="278"/>
        <v>-85.902998474892797</v>
      </c>
      <c r="P615" s="310">
        <f t="shared" ca="1" si="279"/>
        <v>23</v>
      </c>
      <c r="Q615" s="304">
        <f t="shared" ca="1" si="280"/>
        <v>0</v>
      </c>
      <c r="R615" s="306">
        <f t="shared" ca="1" si="281"/>
        <v>0</v>
      </c>
      <c r="S615" s="307">
        <f t="shared" ca="1" si="282"/>
        <v>0.4270000000000001</v>
      </c>
      <c r="T615" s="304">
        <f t="shared" ca="1" si="262"/>
        <v>4.1888700000000014</v>
      </c>
      <c r="U615" s="311">
        <f t="shared" ca="1" si="263"/>
        <v>0</v>
      </c>
      <c r="V615" s="306">
        <f t="shared" ca="1" si="264"/>
        <v>1.2255186200113106</v>
      </c>
      <c r="W615" s="304">
        <f t="shared" ca="1" si="265"/>
        <v>3.5491201360553171</v>
      </c>
      <c r="Y615" s="314" t="str">
        <f t="shared" ca="1" si="283"/>
        <v/>
      </c>
      <c r="Z615" s="315" t="str">
        <f t="shared" ca="1" si="284"/>
        <v/>
      </c>
      <c r="AA615" s="316" t="str">
        <f t="shared" ca="1" si="285"/>
        <v/>
      </c>
      <c r="AC615" s="310" t="e">
        <f t="shared" ca="1" si="286"/>
        <v>#N/A</v>
      </c>
      <c r="AD615" s="323" t="e">
        <f t="shared" ca="1" si="287"/>
        <v>#N/A</v>
      </c>
      <c r="AE615" s="324" t="e">
        <f t="shared" ca="1" si="266"/>
        <v>#N/A</v>
      </c>
      <c r="AG615" s="306">
        <f t="shared" ca="1" si="288"/>
        <v>1.4732242181485251</v>
      </c>
      <c r="AH615" s="304">
        <f t="shared" ca="1" si="289"/>
        <v>-8.3117056161752991</v>
      </c>
    </row>
    <row r="616" spans="1:34" x14ac:dyDescent="0.3">
      <c r="A616" s="347">
        <f t="shared" ca="1" si="267"/>
        <v>1E-4</v>
      </c>
      <c r="B616" s="304">
        <f t="shared" ca="1" si="268"/>
        <v>16.127099999999899</v>
      </c>
      <c r="D616" s="306">
        <f t="shared" ca="1" si="269"/>
        <v>-0.59383549725247753</v>
      </c>
      <c r="E616" s="307">
        <f t="shared" ca="1" si="270"/>
        <v>-1.5194837421594798</v>
      </c>
      <c r="F616" s="304">
        <f t="shared" ca="1" si="271"/>
        <v>1.6314016796865429</v>
      </c>
      <c r="G616" s="306">
        <f t="shared" ca="1" si="272"/>
        <v>3.7382369652179599</v>
      </c>
      <c r="H616" s="307">
        <f t="shared" ca="1" si="273"/>
        <v>-52.190374323894368</v>
      </c>
      <c r="I616" s="304">
        <f t="shared" ca="1" si="274"/>
        <v>52.324082291773969</v>
      </c>
      <c r="J616" s="306">
        <f t="shared" ca="1" si="275"/>
        <v>150.09587023194715</v>
      </c>
      <c r="K616" s="307">
        <f t="shared" ca="1" si="276"/>
        <v>-4.2379557825824712</v>
      </c>
      <c r="L616" s="304">
        <f t="shared" ca="1" si="261"/>
        <v>150.15568763753387</v>
      </c>
      <c r="M616" s="306">
        <f t="shared" ca="1" si="277"/>
        <v>-1.4992915002163743</v>
      </c>
      <c r="N616" s="304">
        <f t="shared" ca="1" si="278"/>
        <v>-85.903075222235799</v>
      </c>
      <c r="P616" s="310">
        <f t="shared" ca="1" si="279"/>
        <v>23</v>
      </c>
      <c r="Q616" s="304">
        <f t="shared" ca="1" si="280"/>
        <v>0</v>
      </c>
      <c r="R616" s="306">
        <f t="shared" ca="1" si="281"/>
        <v>0</v>
      </c>
      <c r="S616" s="307">
        <f t="shared" ca="1" si="282"/>
        <v>0.4270000000000001</v>
      </c>
      <c r="T616" s="304">
        <f t="shared" ca="1" si="262"/>
        <v>4.1888700000000014</v>
      </c>
      <c r="U616" s="311">
        <f t="shared" ca="1" si="263"/>
        <v>0</v>
      </c>
      <c r="V616" s="306">
        <f t="shared" ca="1" si="264"/>
        <v>1.2255192596133304</v>
      </c>
      <c r="W616" s="304">
        <f t="shared" ca="1" si="265"/>
        <v>3.5491419734062077</v>
      </c>
      <c r="Y616" s="314" t="str">
        <f t="shared" ca="1" si="283"/>
        <v/>
      </c>
      <c r="Z616" s="315" t="str">
        <f t="shared" ca="1" si="284"/>
        <v/>
      </c>
      <c r="AA616" s="316" t="str">
        <f t="shared" ca="1" si="285"/>
        <v/>
      </c>
      <c r="AC616" s="310" t="e">
        <f t="shared" ca="1" si="286"/>
        <v>#N/A</v>
      </c>
      <c r="AD616" s="323" t="e">
        <f t="shared" ca="1" si="287"/>
        <v>#N/A</v>
      </c>
      <c r="AE616" s="324" t="e">
        <f t="shared" ca="1" si="266"/>
        <v>#N/A</v>
      </c>
      <c r="AG616" s="306">
        <f t="shared" ca="1" si="288"/>
        <v>1.4731740142626126</v>
      </c>
      <c r="AH616" s="304">
        <f t="shared" ca="1" si="289"/>
        <v>-8.3117567589117467</v>
      </c>
    </row>
    <row r="617" spans="1:34" x14ac:dyDescent="0.3">
      <c r="A617" s="347">
        <f t="shared" ca="1" si="267"/>
        <v>1E-4</v>
      </c>
      <c r="B617" s="304">
        <f t="shared" ca="1" si="268"/>
        <v>16.127199999999899</v>
      </c>
      <c r="D617" s="306">
        <f t="shared" ca="1" si="269"/>
        <v>-0.59382804589360849</v>
      </c>
      <c r="E617" s="307">
        <f t="shared" ca="1" si="270"/>
        <v>-1.519431936076554</v>
      </c>
      <c r="F617" s="304">
        <f t="shared" ca="1" si="271"/>
        <v>1.6313507153457736</v>
      </c>
      <c r="G617" s="306">
        <f t="shared" ca="1" si="272"/>
        <v>3.7381775824133707</v>
      </c>
      <c r="H617" s="307">
        <f t="shared" ca="1" si="273"/>
        <v>-52.190526267087975</v>
      </c>
      <c r="I617" s="304">
        <f t="shared" ca="1" si="274"/>
        <v>52.324229604202088</v>
      </c>
      <c r="J617" s="306">
        <f t="shared" ca="1" si="275"/>
        <v>150.09587023194715</v>
      </c>
      <c r="K617" s="307">
        <f t="shared" ca="1" si="276"/>
        <v>-4.2431748276120205</v>
      </c>
      <c r="L617" s="304">
        <f t="shared" ca="1" si="261"/>
        <v>150.15583502915629</v>
      </c>
      <c r="M617" s="306">
        <f t="shared" ca="1" si="277"/>
        <v>-1.4992928396813812</v>
      </c>
      <c r="N617" s="304">
        <f t="shared" ca="1" si="278"/>
        <v>-85.903151967927499</v>
      </c>
      <c r="P617" s="310">
        <f t="shared" ca="1" si="279"/>
        <v>23</v>
      </c>
      <c r="Q617" s="304">
        <f t="shared" ca="1" si="280"/>
        <v>0</v>
      </c>
      <c r="R617" s="306">
        <f t="shared" ca="1" si="281"/>
        <v>0</v>
      </c>
      <c r="S617" s="307">
        <f t="shared" ca="1" si="282"/>
        <v>0.4270000000000001</v>
      </c>
      <c r="T617" s="304">
        <f t="shared" ca="1" si="262"/>
        <v>4.1888700000000014</v>
      </c>
      <c r="U617" s="311">
        <f t="shared" ca="1" si="263"/>
        <v>0</v>
      </c>
      <c r="V617" s="306">
        <f t="shared" ca="1" si="264"/>
        <v>1.225519899217546</v>
      </c>
      <c r="W617" s="304">
        <f t="shared" ca="1" si="265"/>
        <v>3.5491638101595364</v>
      </c>
      <c r="Y617" s="314" t="str">
        <f t="shared" ca="1" si="283"/>
        <v/>
      </c>
      <c r="Z617" s="315" t="str">
        <f t="shared" ca="1" si="284"/>
        <v/>
      </c>
      <c r="AA617" s="316" t="str">
        <f t="shared" ca="1" si="285"/>
        <v/>
      </c>
      <c r="AC617" s="310" t="e">
        <f t="shared" ca="1" si="286"/>
        <v>#N/A</v>
      </c>
      <c r="AD617" s="323" t="e">
        <f t="shared" ca="1" si="287"/>
        <v>#N/A</v>
      </c>
      <c r="AE617" s="324" t="e">
        <f t="shared" ca="1" si="266"/>
        <v>#N/A</v>
      </c>
      <c r="AG617" s="306">
        <f t="shared" ca="1" si="288"/>
        <v>1.4731238117384091</v>
      </c>
      <c r="AH617" s="304">
        <f t="shared" ca="1" si="289"/>
        <v>-8.3118079002487288</v>
      </c>
    </row>
    <row r="618" spans="1:34" x14ac:dyDescent="0.3">
      <c r="A618" s="347">
        <f t="shared" ca="1" si="267"/>
        <v>1E-4</v>
      </c>
      <c r="B618" s="304">
        <f t="shared" ca="1" si="268"/>
        <v>16.127299999999899</v>
      </c>
      <c r="D618" s="306">
        <f t="shared" ca="1" si="269"/>
        <v>-0.59382059453597691</v>
      </c>
      <c r="E618" s="307">
        <f t="shared" ca="1" si="270"/>
        <v>-1.519380131411701</v>
      </c>
      <c r="F618" s="304">
        <f t="shared" ca="1" si="271"/>
        <v>1.6312997524133017</v>
      </c>
      <c r="G618" s="306">
        <f t="shared" ca="1" si="272"/>
        <v>3.7381182003539171</v>
      </c>
      <c r="H618" s="307">
        <f t="shared" ca="1" si="273"/>
        <v>-52.190678205101115</v>
      </c>
      <c r="I618" s="304">
        <f t="shared" ca="1" si="274"/>
        <v>52.324376911610081</v>
      </c>
      <c r="J618" s="306">
        <f t="shared" ca="1" si="275"/>
        <v>150.09587023194715</v>
      </c>
      <c r="K618" s="307">
        <f t="shared" ca="1" si="276"/>
        <v>-4.24839388783563</v>
      </c>
      <c r="L618" s="304">
        <f t="shared" ca="1" si="261"/>
        <v>150.15598260246483</v>
      </c>
      <c r="M618" s="306">
        <f t="shared" ca="1" si="277"/>
        <v>-1.4992941791175685</v>
      </c>
      <c r="N618" s="304">
        <f t="shared" ca="1" si="278"/>
        <v>-85.903228711967955</v>
      </c>
      <c r="P618" s="310">
        <f t="shared" ca="1" si="279"/>
        <v>23</v>
      </c>
      <c r="Q618" s="304">
        <f t="shared" ca="1" si="280"/>
        <v>0</v>
      </c>
      <c r="R618" s="306">
        <f t="shared" ca="1" si="281"/>
        <v>0</v>
      </c>
      <c r="S618" s="307">
        <f t="shared" ca="1" si="282"/>
        <v>0.4270000000000001</v>
      </c>
      <c r="T618" s="304">
        <f t="shared" ca="1" si="262"/>
        <v>4.1888700000000014</v>
      </c>
      <c r="U618" s="311">
        <f t="shared" ca="1" si="263"/>
        <v>0</v>
      </c>
      <c r="V618" s="306">
        <f t="shared" ca="1" si="264"/>
        <v>1.2255205388239578</v>
      </c>
      <c r="W618" s="304">
        <f t="shared" ca="1" si="265"/>
        <v>3.5491856463153146</v>
      </c>
      <c r="Y618" s="314" t="str">
        <f t="shared" ca="1" si="283"/>
        <v/>
      </c>
      <c r="Z618" s="315" t="str">
        <f t="shared" ca="1" si="284"/>
        <v/>
      </c>
      <c r="AA618" s="316" t="str">
        <f t="shared" ca="1" si="285"/>
        <v/>
      </c>
      <c r="AC618" s="310" t="e">
        <f t="shared" ca="1" si="286"/>
        <v>#N/A</v>
      </c>
      <c r="AD618" s="323" t="e">
        <f t="shared" ca="1" si="287"/>
        <v>#N/A</v>
      </c>
      <c r="AE618" s="324" t="e">
        <f t="shared" ca="1" si="266"/>
        <v>#N/A</v>
      </c>
      <c r="AG618" s="306">
        <f t="shared" ca="1" si="288"/>
        <v>1.4730736105758968</v>
      </c>
      <c r="AH618" s="304">
        <f t="shared" ca="1" si="289"/>
        <v>-8.3118590401862651</v>
      </c>
    </row>
    <row r="619" spans="1:34" x14ac:dyDescent="0.3">
      <c r="A619" s="347">
        <f t="shared" ca="1" si="267"/>
        <v>1E-4</v>
      </c>
      <c r="B619" s="304">
        <f t="shared" ca="1" si="268"/>
        <v>16.127399999999898</v>
      </c>
      <c r="D619" s="306">
        <f t="shared" ca="1" si="269"/>
        <v>-0.59381314317958778</v>
      </c>
      <c r="E619" s="307">
        <f t="shared" ca="1" si="270"/>
        <v>-1.5193283281648853</v>
      </c>
      <c r="F619" s="304">
        <f t="shared" ca="1" si="271"/>
        <v>1.6312487908890927</v>
      </c>
      <c r="G619" s="306">
        <f t="shared" ca="1" si="272"/>
        <v>3.7380588190395989</v>
      </c>
      <c r="H619" s="307">
        <f t="shared" ca="1" si="273"/>
        <v>-52.190830137933929</v>
      </c>
      <c r="I619" s="304">
        <f t="shared" ca="1" si="274"/>
        <v>52.324524213998089</v>
      </c>
      <c r="J619" s="306">
        <f t="shared" ca="1" si="275"/>
        <v>150.09587023194715</v>
      </c>
      <c r="K619" s="307">
        <f t="shared" ca="1" si="276"/>
        <v>-4.2536129632527819</v>
      </c>
      <c r="L619" s="304">
        <f t="shared" ca="1" si="261"/>
        <v>150.15613035746048</v>
      </c>
      <c r="M619" s="306">
        <f t="shared" ca="1" si="277"/>
        <v>-1.499295518524937</v>
      </c>
      <c r="N619" s="304">
        <f t="shared" ca="1" si="278"/>
        <v>-85.903305454357223</v>
      </c>
      <c r="P619" s="310">
        <f t="shared" ca="1" si="279"/>
        <v>23</v>
      </c>
      <c r="Q619" s="304">
        <f t="shared" ca="1" si="280"/>
        <v>0</v>
      </c>
      <c r="R619" s="306">
        <f t="shared" ca="1" si="281"/>
        <v>0</v>
      </c>
      <c r="S619" s="307">
        <f t="shared" ca="1" si="282"/>
        <v>0.4270000000000001</v>
      </c>
      <c r="T619" s="304">
        <f t="shared" ca="1" si="262"/>
        <v>4.1888700000000014</v>
      </c>
      <c r="U619" s="311">
        <f t="shared" ca="1" si="263"/>
        <v>0</v>
      </c>
      <c r="V619" s="306">
        <f t="shared" ca="1" si="264"/>
        <v>1.2255211784325655</v>
      </c>
      <c r="W619" s="304">
        <f t="shared" ca="1" si="265"/>
        <v>3.5492074818735535</v>
      </c>
      <c r="Y619" s="314" t="str">
        <f t="shared" ca="1" si="283"/>
        <v/>
      </c>
      <c r="Z619" s="315" t="str">
        <f t="shared" ca="1" si="284"/>
        <v/>
      </c>
      <c r="AA619" s="316" t="str">
        <f t="shared" ca="1" si="285"/>
        <v/>
      </c>
      <c r="AC619" s="310" t="e">
        <f t="shared" ca="1" si="286"/>
        <v>#N/A</v>
      </c>
      <c r="AD619" s="323" t="e">
        <f t="shared" ca="1" si="287"/>
        <v>#N/A</v>
      </c>
      <c r="AE619" s="324" t="e">
        <f t="shared" ca="1" si="266"/>
        <v>#N/A</v>
      </c>
      <c r="AG619" s="306">
        <f t="shared" ca="1" si="288"/>
        <v>1.4730234107750437</v>
      </c>
      <c r="AH619" s="304">
        <f t="shared" ca="1" si="289"/>
        <v>-8.3119101787243874</v>
      </c>
    </row>
    <row r="620" spans="1:34" x14ac:dyDescent="0.3">
      <c r="A620" s="347">
        <f t="shared" ca="1" si="267"/>
        <v>1E-4</v>
      </c>
      <c r="B620" s="304">
        <f t="shared" ca="1" si="268"/>
        <v>16.127499999999898</v>
      </c>
      <c r="D620" s="306">
        <f t="shared" ca="1" si="269"/>
        <v>-0.59380569182444543</v>
      </c>
      <c r="E620" s="307">
        <f t="shared" ca="1" si="270"/>
        <v>-1.5192765263360837</v>
      </c>
      <c r="F620" s="304">
        <f t="shared" ca="1" si="271"/>
        <v>1.6311978307731239</v>
      </c>
      <c r="G620" s="306">
        <f t="shared" ca="1" si="272"/>
        <v>3.7379994384704163</v>
      </c>
      <c r="H620" s="307">
        <f t="shared" ca="1" si="273"/>
        <v>-52.19098206558656</v>
      </c>
      <c r="I620" s="304">
        <f t="shared" ca="1" si="274"/>
        <v>52.324671511366255</v>
      </c>
      <c r="J620" s="306">
        <f t="shared" ca="1" si="275"/>
        <v>150.09587023194715</v>
      </c>
      <c r="K620" s="307">
        <f t="shared" ca="1" si="276"/>
        <v>-4.2588320538629576</v>
      </c>
      <c r="L620" s="304">
        <f t="shared" ca="1" si="261"/>
        <v>150.15627829414436</v>
      </c>
      <c r="M620" s="306">
        <f t="shared" ca="1" si="277"/>
        <v>-1.4992968579034873</v>
      </c>
      <c r="N620" s="304">
        <f t="shared" ca="1" si="278"/>
        <v>-85.903382195095332</v>
      </c>
      <c r="P620" s="310">
        <f t="shared" ca="1" si="279"/>
        <v>23</v>
      </c>
      <c r="Q620" s="304">
        <f t="shared" ca="1" si="280"/>
        <v>0</v>
      </c>
      <c r="R620" s="306">
        <f t="shared" ca="1" si="281"/>
        <v>0</v>
      </c>
      <c r="S620" s="307">
        <f t="shared" ca="1" si="282"/>
        <v>0.4270000000000001</v>
      </c>
      <c r="T620" s="304">
        <f t="shared" ca="1" si="262"/>
        <v>4.1888700000000014</v>
      </c>
      <c r="U620" s="311">
        <f t="shared" ca="1" si="263"/>
        <v>0</v>
      </c>
      <c r="V620" s="306">
        <f t="shared" ca="1" si="264"/>
        <v>1.2255218180433689</v>
      </c>
      <c r="W620" s="304">
        <f t="shared" ca="1" si="265"/>
        <v>3.5492293168342655</v>
      </c>
      <c r="Y620" s="314" t="str">
        <f t="shared" ca="1" si="283"/>
        <v/>
      </c>
      <c r="Z620" s="315" t="str">
        <f t="shared" ca="1" si="284"/>
        <v/>
      </c>
      <c r="AA620" s="316" t="str">
        <f t="shared" ca="1" si="285"/>
        <v/>
      </c>
      <c r="AC620" s="310" t="e">
        <f t="shared" ca="1" si="286"/>
        <v>#N/A</v>
      </c>
      <c r="AD620" s="323" t="e">
        <f t="shared" ca="1" si="287"/>
        <v>#N/A</v>
      </c>
      <c r="AE620" s="324" t="e">
        <f t="shared" ca="1" si="266"/>
        <v>#N/A</v>
      </c>
      <c r="AG620" s="306">
        <f t="shared" ca="1" si="288"/>
        <v>1.4729732123358286</v>
      </c>
      <c r="AH620" s="304">
        <f t="shared" ca="1" si="289"/>
        <v>-8.3119613158631207</v>
      </c>
    </row>
    <row r="621" spans="1:34" x14ac:dyDescent="0.3">
      <c r="A621" s="347">
        <f t="shared" ca="1" si="267"/>
        <v>1E-4</v>
      </c>
      <c r="B621" s="304">
        <f t="shared" ca="1" si="268"/>
        <v>16.127599999999898</v>
      </c>
      <c r="D621" s="306">
        <f t="shared" ca="1" si="269"/>
        <v>-0.59379824047055862</v>
      </c>
      <c r="E621" s="307">
        <f t="shared" ca="1" si="270"/>
        <v>-1.5192247259252678</v>
      </c>
      <c r="F621" s="304">
        <f t="shared" ca="1" si="271"/>
        <v>1.6311468720653688</v>
      </c>
      <c r="G621" s="306">
        <f t="shared" ca="1" si="272"/>
        <v>3.7379400586463691</v>
      </c>
      <c r="H621" s="307">
        <f t="shared" ca="1" si="273"/>
        <v>-52.19113398805915</v>
      </c>
      <c r="I621" s="304">
        <f t="shared" ca="1" si="274"/>
        <v>52.324818803714706</v>
      </c>
      <c r="J621" s="306">
        <f t="shared" ca="1" si="275"/>
        <v>150.09587023194715</v>
      </c>
      <c r="K621" s="307">
        <f t="shared" ca="1" si="276"/>
        <v>-4.2640511596656401</v>
      </c>
      <c r="L621" s="304">
        <f t="shared" ca="1" si="261"/>
        <v>150.15642641251742</v>
      </c>
      <c r="M621" s="306">
        <f t="shared" ca="1" si="277"/>
        <v>-1.4992981972532207</v>
      </c>
      <c r="N621" s="304">
        <f t="shared" ca="1" si="278"/>
        <v>-85.903458934182339</v>
      </c>
      <c r="P621" s="310">
        <f t="shared" ca="1" si="279"/>
        <v>23</v>
      </c>
      <c r="Q621" s="304">
        <f t="shared" ca="1" si="280"/>
        <v>0</v>
      </c>
      <c r="R621" s="306">
        <f t="shared" ca="1" si="281"/>
        <v>0</v>
      </c>
      <c r="S621" s="307">
        <f t="shared" ca="1" si="282"/>
        <v>0.4270000000000001</v>
      </c>
      <c r="T621" s="304">
        <f t="shared" ca="1" si="262"/>
        <v>4.1888700000000014</v>
      </c>
      <c r="U621" s="311">
        <f t="shared" ca="1" si="263"/>
        <v>0</v>
      </c>
      <c r="V621" s="306">
        <f t="shared" ca="1" si="264"/>
        <v>1.2255224576563679</v>
      </c>
      <c r="W621" s="304">
        <f t="shared" ca="1" si="265"/>
        <v>3.5492511511974616</v>
      </c>
      <c r="Y621" s="314" t="str">
        <f t="shared" ca="1" si="283"/>
        <v/>
      </c>
      <c r="Z621" s="315" t="str">
        <f t="shared" ca="1" si="284"/>
        <v/>
      </c>
      <c r="AA621" s="316" t="str">
        <f t="shared" ca="1" si="285"/>
        <v/>
      </c>
      <c r="AC621" s="310" t="e">
        <f t="shared" ca="1" si="286"/>
        <v>#N/A</v>
      </c>
      <c r="AD621" s="323" t="e">
        <f t="shared" ca="1" si="287"/>
        <v>#N/A</v>
      </c>
      <c r="AE621" s="324" t="e">
        <f t="shared" ca="1" si="266"/>
        <v>#N/A</v>
      </c>
      <c r="AG621" s="306">
        <f t="shared" ca="1" si="288"/>
        <v>1.4729230152582229</v>
      </c>
      <c r="AH621" s="304">
        <f t="shared" ca="1" si="289"/>
        <v>-8.3120124516024934</v>
      </c>
    </row>
    <row r="622" spans="1:34" x14ac:dyDescent="0.3">
      <c r="A622" s="347">
        <f t="shared" ca="1" si="267"/>
        <v>1E-4</v>
      </c>
      <c r="B622" s="304">
        <f t="shared" ca="1" si="268"/>
        <v>16.127699999999898</v>
      </c>
      <c r="D622" s="306">
        <f t="shared" ca="1" si="269"/>
        <v>-0.59379078911792793</v>
      </c>
      <c r="E622" s="307">
        <f t="shared" ca="1" si="270"/>
        <v>-1.519172926932411</v>
      </c>
      <c r="F622" s="304">
        <f t="shared" ca="1" si="271"/>
        <v>1.6310959147657993</v>
      </c>
      <c r="G622" s="306">
        <f t="shared" ca="1" si="272"/>
        <v>3.7378806795674575</v>
      </c>
      <c r="H622" s="307">
        <f t="shared" ca="1" si="273"/>
        <v>-52.19128590535184</v>
      </c>
      <c r="I622" s="304">
        <f t="shared" ca="1" si="274"/>
        <v>52.324966091043585</v>
      </c>
      <c r="J622" s="306">
        <f t="shared" ca="1" si="275"/>
        <v>150.09587023194715</v>
      </c>
      <c r="K622" s="307">
        <f t="shared" ca="1" si="276"/>
        <v>-4.2692702806603107</v>
      </c>
      <c r="L622" s="304">
        <f t="shared" ca="1" si="261"/>
        <v>150.15657471258075</v>
      </c>
      <c r="M622" s="306">
        <f t="shared" ca="1" si="277"/>
        <v>-1.4992995365741375</v>
      </c>
      <c r="N622" s="304">
        <f t="shared" ca="1" si="278"/>
        <v>-85.903535671618286</v>
      </c>
      <c r="P622" s="310">
        <f t="shared" ca="1" si="279"/>
        <v>23</v>
      </c>
      <c r="Q622" s="304">
        <f t="shared" ca="1" si="280"/>
        <v>0</v>
      </c>
      <c r="R622" s="306">
        <f t="shared" ca="1" si="281"/>
        <v>0</v>
      </c>
      <c r="S622" s="307">
        <f t="shared" ca="1" si="282"/>
        <v>0.4270000000000001</v>
      </c>
      <c r="T622" s="304">
        <f t="shared" ca="1" si="262"/>
        <v>4.1888700000000014</v>
      </c>
      <c r="U622" s="311">
        <f t="shared" ca="1" si="263"/>
        <v>0</v>
      </c>
      <c r="V622" s="306">
        <f t="shared" ca="1" si="264"/>
        <v>1.2255230972715627</v>
      </c>
      <c r="W622" s="304">
        <f t="shared" ca="1" si="265"/>
        <v>3.5492729849631552</v>
      </c>
      <c r="Y622" s="314" t="str">
        <f t="shared" ca="1" si="283"/>
        <v/>
      </c>
      <c r="Z622" s="315" t="str">
        <f t="shared" ca="1" si="284"/>
        <v/>
      </c>
      <c r="AA622" s="316" t="str">
        <f t="shared" ca="1" si="285"/>
        <v/>
      </c>
      <c r="AC622" s="310" t="e">
        <f t="shared" ca="1" si="286"/>
        <v>#N/A</v>
      </c>
      <c r="AD622" s="323" t="e">
        <f t="shared" ca="1" si="287"/>
        <v>#N/A</v>
      </c>
      <c r="AE622" s="324" t="e">
        <f t="shared" ca="1" si="266"/>
        <v>#N/A</v>
      </c>
      <c r="AG622" s="306">
        <f t="shared" ca="1" si="288"/>
        <v>1.4728728195422054</v>
      </c>
      <c r="AH622" s="304">
        <f t="shared" ca="1" si="289"/>
        <v>-8.3120635859425303</v>
      </c>
    </row>
    <row r="623" spans="1:34" x14ac:dyDescent="0.3">
      <c r="A623" s="347">
        <f t="shared" ca="1" si="267"/>
        <v>1E-4</v>
      </c>
      <c r="B623" s="304">
        <f t="shared" ca="1" si="268"/>
        <v>16.127799999999898</v>
      </c>
      <c r="D623" s="306">
        <f t="shared" ca="1" si="269"/>
        <v>-0.59378333776656234</v>
      </c>
      <c r="E623" s="307">
        <f t="shared" ca="1" si="270"/>
        <v>-1.5191211293574778</v>
      </c>
      <c r="F623" s="304">
        <f t="shared" ca="1" si="271"/>
        <v>1.6310449588743832</v>
      </c>
      <c r="G623" s="306">
        <f t="shared" ca="1" si="272"/>
        <v>3.7378213012336809</v>
      </c>
      <c r="H623" s="307">
        <f t="shared" ca="1" si="273"/>
        <v>-52.191437817464774</v>
      </c>
      <c r="I623" s="304">
        <f t="shared" ca="1" si="274"/>
        <v>52.325113373353027</v>
      </c>
      <c r="J623" s="306">
        <f t="shared" ca="1" si="275"/>
        <v>150.09587023194715</v>
      </c>
      <c r="K623" s="307">
        <f t="shared" ca="1" si="276"/>
        <v>-4.2744894168464516</v>
      </c>
      <c r="L623" s="304">
        <f t="shared" ca="1" si="261"/>
        <v>150.15672319433537</v>
      </c>
      <c r="M623" s="306">
        <f t="shared" ca="1" si="277"/>
        <v>-1.4993008758662389</v>
      </c>
      <c r="N623" s="304">
        <f t="shared" ca="1" si="278"/>
        <v>-85.90361240740323</v>
      </c>
      <c r="P623" s="310">
        <f t="shared" ca="1" si="279"/>
        <v>23</v>
      </c>
      <c r="Q623" s="304">
        <f t="shared" ca="1" si="280"/>
        <v>0</v>
      </c>
      <c r="R623" s="306">
        <f t="shared" ca="1" si="281"/>
        <v>0</v>
      </c>
      <c r="S623" s="307">
        <f t="shared" ca="1" si="282"/>
        <v>0.4270000000000001</v>
      </c>
      <c r="T623" s="304">
        <f t="shared" ca="1" si="262"/>
        <v>4.1888700000000014</v>
      </c>
      <c r="U623" s="311">
        <f t="shared" ca="1" si="263"/>
        <v>0</v>
      </c>
      <c r="V623" s="306">
        <f t="shared" ca="1" si="264"/>
        <v>1.2255237368889533</v>
      </c>
      <c r="W623" s="304">
        <f t="shared" ca="1" si="265"/>
        <v>3.5492948181313557</v>
      </c>
      <c r="Y623" s="314" t="str">
        <f t="shared" ca="1" si="283"/>
        <v/>
      </c>
      <c r="Z623" s="315" t="str">
        <f t="shared" ca="1" si="284"/>
        <v/>
      </c>
      <c r="AA623" s="316" t="str">
        <f t="shared" ca="1" si="285"/>
        <v/>
      </c>
      <c r="AC623" s="310" t="e">
        <f t="shared" ca="1" si="286"/>
        <v>#N/A</v>
      </c>
      <c r="AD623" s="323" t="e">
        <f t="shared" ca="1" si="287"/>
        <v>#N/A</v>
      </c>
      <c r="AE623" s="324" t="e">
        <f t="shared" ca="1" si="266"/>
        <v>#N/A</v>
      </c>
      <c r="AG623" s="306">
        <f t="shared" ca="1" si="288"/>
        <v>1.4728226251877441</v>
      </c>
      <c r="AH623" s="304">
        <f t="shared" ca="1" si="289"/>
        <v>-8.3121147188832651</v>
      </c>
    </row>
    <row r="624" spans="1:34" x14ac:dyDescent="0.3">
      <c r="A624" s="347">
        <f t="shared" ca="1" si="267"/>
        <v>1E-4</v>
      </c>
      <c r="B624" s="304">
        <f t="shared" ca="1" si="268"/>
        <v>16.127899999999897</v>
      </c>
      <c r="D624" s="306">
        <f t="shared" ca="1" si="269"/>
        <v>-0.59377588641646406</v>
      </c>
      <c r="E624" s="307">
        <f t="shared" ca="1" si="270"/>
        <v>-1.5190693332004503</v>
      </c>
      <c r="F624" s="304">
        <f t="shared" ca="1" si="271"/>
        <v>1.6309940043911009</v>
      </c>
      <c r="G624" s="306">
        <f t="shared" ca="1" si="272"/>
        <v>3.7377619236450395</v>
      </c>
      <c r="H624" s="307">
        <f t="shared" ca="1" si="273"/>
        <v>-52.191589724398092</v>
      </c>
      <c r="I624" s="304">
        <f t="shared" ca="1" si="274"/>
        <v>52.325260650643173</v>
      </c>
      <c r="J624" s="306">
        <f t="shared" ca="1" si="275"/>
        <v>150.09587023194715</v>
      </c>
      <c r="K624" s="307">
        <f t="shared" ca="1" si="276"/>
        <v>-4.279708568223545</v>
      </c>
      <c r="L624" s="304">
        <f t="shared" ca="1" si="261"/>
        <v>150.15687185778225</v>
      </c>
      <c r="M624" s="306">
        <f t="shared" ca="1" si="277"/>
        <v>-1.4993022151295257</v>
      </c>
      <c r="N624" s="304">
        <f t="shared" ca="1" si="278"/>
        <v>-85.903689141537228</v>
      </c>
      <c r="P624" s="310">
        <f t="shared" ca="1" si="279"/>
        <v>23</v>
      </c>
      <c r="Q624" s="304">
        <f t="shared" ca="1" si="280"/>
        <v>0</v>
      </c>
      <c r="R624" s="306">
        <f t="shared" ca="1" si="281"/>
        <v>0</v>
      </c>
      <c r="S624" s="307">
        <f t="shared" ca="1" si="282"/>
        <v>0.4270000000000001</v>
      </c>
      <c r="T624" s="304">
        <f t="shared" ca="1" si="262"/>
        <v>4.1888700000000014</v>
      </c>
      <c r="U624" s="311">
        <f t="shared" ca="1" si="263"/>
        <v>0</v>
      </c>
      <c r="V624" s="306">
        <f t="shared" ca="1" si="264"/>
        <v>1.2255243765085395</v>
      </c>
      <c r="W624" s="304">
        <f t="shared" ca="1" si="265"/>
        <v>3.5493166507020777</v>
      </c>
      <c r="Y624" s="314" t="str">
        <f t="shared" ca="1" si="283"/>
        <v/>
      </c>
      <c r="Z624" s="315" t="str">
        <f t="shared" ca="1" si="284"/>
        <v/>
      </c>
      <c r="AA624" s="316" t="str">
        <f t="shared" ca="1" si="285"/>
        <v/>
      </c>
      <c r="AC624" s="310" t="e">
        <f t="shared" ca="1" si="286"/>
        <v>#N/A</v>
      </c>
      <c r="AD624" s="323" t="e">
        <f t="shared" ca="1" si="287"/>
        <v>#N/A</v>
      </c>
      <c r="AE624" s="324" t="e">
        <f t="shared" ca="1" si="266"/>
        <v>#N/A</v>
      </c>
      <c r="AG624" s="306">
        <f t="shared" ca="1" si="288"/>
        <v>1.4727724321948141</v>
      </c>
      <c r="AH624" s="304">
        <f t="shared" ca="1" si="289"/>
        <v>-8.3121658504247193</v>
      </c>
    </row>
    <row r="625" spans="1:34" x14ac:dyDescent="0.3">
      <c r="A625" s="347">
        <f t="shared" ca="1" si="267"/>
        <v>1E-4</v>
      </c>
      <c r="B625" s="304">
        <f t="shared" ca="1" si="268"/>
        <v>16.127999999999897</v>
      </c>
      <c r="D625" s="306">
        <f t="shared" ca="1" si="269"/>
        <v>-0.5937684350676401</v>
      </c>
      <c r="E625" s="307">
        <f t="shared" ca="1" si="270"/>
        <v>-1.5190175384612932</v>
      </c>
      <c r="F625" s="304">
        <f t="shared" ca="1" si="271"/>
        <v>1.6309430513159191</v>
      </c>
      <c r="G625" s="306">
        <f t="shared" ca="1" si="272"/>
        <v>3.7377025468015326</v>
      </c>
      <c r="H625" s="307">
        <f t="shared" ca="1" si="273"/>
        <v>-52.191741626151938</v>
      </c>
      <c r="I625" s="304">
        <f t="shared" ca="1" si="274"/>
        <v>52.32540792291416</v>
      </c>
      <c r="J625" s="306">
        <f t="shared" ca="1" si="275"/>
        <v>150.09587023194715</v>
      </c>
      <c r="K625" s="307">
        <f t="shared" ca="1" si="276"/>
        <v>-4.2849277347910721</v>
      </c>
      <c r="L625" s="304">
        <f t="shared" ca="1" si="261"/>
        <v>150.15702070292249</v>
      </c>
      <c r="M625" s="306">
        <f t="shared" ca="1" si="277"/>
        <v>-1.4993035543639985</v>
      </c>
      <c r="N625" s="304">
        <f t="shared" ca="1" si="278"/>
        <v>-85.903765874020294</v>
      </c>
      <c r="P625" s="310">
        <f t="shared" ca="1" si="279"/>
        <v>23</v>
      </c>
      <c r="Q625" s="304">
        <f t="shared" ca="1" si="280"/>
        <v>0</v>
      </c>
      <c r="R625" s="306">
        <f t="shared" ca="1" si="281"/>
        <v>0</v>
      </c>
      <c r="S625" s="307">
        <f t="shared" ca="1" si="282"/>
        <v>0.4270000000000001</v>
      </c>
      <c r="T625" s="304">
        <f t="shared" ca="1" si="262"/>
        <v>4.1888700000000014</v>
      </c>
      <c r="U625" s="311">
        <f t="shared" ca="1" si="263"/>
        <v>0</v>
      </c>
      <c r="V625" s="306">
        <f t="shared" ca="1" si="264"/>
        <v>1.2255250161303211</v>
      </c>
      <c r="W625" s="304">
        <f t="shared" ca="1" si="265"/>
        <v>3.5493384826753318</v>
      </c>
      <c r="Y625" s="314" t="str">
        <f t="shared" ca="1" si="283"/>
        <v/>
      </c>
      <c r="Z625" s="315" t="str">
        <f t="shared" ca="1" si="284"/>
        <v/>
      </c>
      <c r="AA625" s="316" t="str">
        <f t="shared" ca="1" si="285"/>
        <v/>
      </c>
      <c r="AC625" s="310" t="e">
        <f t="shared" ca="1" si="286"/>
        <v>#N/A</v>
      </c>
      <c r="AD625" s="323" t="e">
        <f t="shared" ca="1" si="287"/>
        <v>#N/A</v>
      </c>
      <c r="AE625" s="324" t="e">
        <f t="shared" ca="1" si="266"/>
        <v>#N/A</v>
      </c>
      <c r="AG625" s="306">
        <f t="shared" ca="1" si="288"/>
        <v>1.4727222405633924</v>
      </c>
      <c r="AH625" s="304">
        <f t="shared" ca="1" si="289"/>
        <v>-8.3122169805669248</v>
      </c>
    </row>
    <row r="626" spans="1:34" x14ac:dyDescent="0.3">
      <c r="A626" s="347">
        <f t="shared" ca="1" si="267"/>
        <v>1E-4</v>
      </c>
      <c r="B626" s="304">
        <f t="shared" ca="1" si="268"/>
        <v>16.128099999999897</v>
      </c>
      <c r="D626" s="306">
        <f t="shared" ca="1" si="269"/>
        <v>-0.59376098372009511</v>
      </c>
      <c r="E626" s="307">
        <f t="shared" ca="1" si="270"/>
        <v>-1.5189657451399796</v>
      </c>
      <c r="F626" s="304">
        <f t="shared" ca="1" si="271"/>
        <v>1.6308920996488114</v>
      </c>
      <c r="G626" s="306">
        <f t="shared" ca="1" si="272"/>
        <v>3.7376431707031608</v>
      </c>
      <c r="H626" s="307">
        <f t="shared" ca="1" si="273"/>
        <v>-52.191893522726453</v>
      </c>
      <c r="I626" s="304">
        <f t="shared" ca="1" si="274"/>
        <v>52.325555190166106</v>
      </c>
      <c r="J626" s="306">
        <f t="shared" ca="1" si="275"/>
        <v>150.09587023194715</v>
      </c>
      <c r="K626" s="307">
        <f t="shared" ca="1" si="276"/>
        <v>-4.2901469165485162</v>
      </c>
      <c r="L626" s="304">
        <f t="shared" ca="1" si="261"/>
        <v>150.15716972975713</v>
      </c>
      <c r="M626" s="306">
        <f t="shared" ca="1" si="277"/>
        <v>-1.4993048935696582</v>
      </c>
      <c r="N626" s="304">
        <f t="shared" ca="1" si="278"/>
        <v>-85.9038426048525</v>
      </c>
      <c r="P626" s="310">
        <f t="shared" ca="1" si="279"/>
        <v>23</v>
      </c>
      <c r="Q626" s="304">
        <f t="shared" ca="1" si="280"/>
        <v>0</v>
      </c>
      <c r="R626" s="306">
        <f t="shared" ca="1" si="281"/>
        <v>0</v>
      </c>
      <c r="S626" s="307">
        <f t="shared" ca="1" si="282"/>
        <v>0.4270000000000001</v>
      </c>
      <c r="T626" s="304">
        <f t="shared" ca="1" si="262"/>
        <v>4.1888700000000014</v>
      </c>
      <c r="U626" s="311">
        <f t="shared" ca="1" si="263"/>
        <v>0</v>
      </c>
      <c r="V626" s="306">
        <f t="shared" ca="1" si="264"/>
        <v>1.2255256557542979</v>
      </c>
      <c r="W626" s="304">
        <f t="shared" ca="1" si="265"/>
        <v>3.5493603140511261</v>
      </c>
      <c r="Y626" s="314" t="str">
        <f t="shared" ca="1" si="283"/>
        <v/>
      </c>
      <c r="Z626" s="315" t="str">
        <f t="shared" ca="1" si="284"/>
        <v/>
      </c>
      <c r="AA626" s="316" t="str">
        <f t="shared" ca="1" si="285"/>
        <v/>
      </c>
      <c r="AC626" s="310" t="e">
        <f t="shared" ca="1" si="286"/>
        <v>#N/A</v>
      </c>
      <c r="AD626" s="323" t="e">
        <f t="shared" ca="1" si="287"/>
        <v>#N/A</v>
      </c>
      <c r="AE626" s="324" t="e">
        <f t="shared" ca="1" si="266"/>
        <v>#N/A</v>
      </c>
      <c r="AG626" s="306">
        <f t="shared" ca="1" si="288"/>
        <v>1.4726720502934505</v>
      </c>
      <c r="AH626" s="304">
        <f t="shared" ca="1" si="289"/>
        <v>-8.3122681093099082</v>
      </c>
    </row>
    <row r="627" spans="1:34" x14ac:dyDescent="0.3">
      <c r="A627" s="347">
        <f t="shared" ca="1" si="267"/>
        <v>1E-4</v>
      </c>
      <c r="B627" s="304">
        <f t="shared" ca="1" si="268"/>
        <v>16.128199999999897</v>
      </c>
      <c r="D627" s="306">
        <f t="shared" ca="1" si="269"/>
        <v>-0.59375353237383477</v>
      </c>
      <c r="E627" s="307">
        <f t="shared" ca="1" si="270"/>
        <v>-1.5189139532364901</v>
      </c>
      <c r="F627" s="304">
        <f t="shared" ca="1" si="271"/>
        <v>1.6308411493897588</v>
      </c>
      <c r="G627" s="306">
        <f t="shared" ca="1" si="272"/>
        <v>3.7375837953499236</v>
      </c>
      <c r="H627" s="307">
        <f t="shared" ca="1" si="273"/>
        <v>-52.192045414121779</v>
      </c>
      <c r="I627" s="304">
        <f t="shared" ca="1" si="274"/>
        <v>52.32570245239917</v>
      </c>
      <c r="J627" s="306">
        <f t="shared" ca="1" si="275"/>
        <v>150.09587023194715</v>
      </c>
      <c r="K627" s="307">
        <f t="shared" ca="1" si="276"/>
        <v>-4.2953661134953585</v>
      </c>
      <c r="L627" s="304">
        <f t="shared" ca="1" si="261"/>
        <v>150.15731893828712</v>
      </c>
      <c r="M627" s="306">
        <f t="shared" ca="1" si="277"/>
        <v>-1.4993062327465059</v>
      </c>
      <c r="N627" s="304">
        <f t="shared" ca="1" si="278"/>
        <v>-85.903919334033887</v>
      </c>
      <c r="P627" s="310">
        <f t="shared" ca="1" si="279"/>
        <v>23</v>
      </c>
      <c r="Q627" s="304">
        <f t="shared" ca="1" si="280"/>
        <v>0</v>
      </c>
      <c r="R627" s="306">
        <f t="shared" ca="1" si="281"/>
        <v>0</v>
      </c>
      <c r="S627" s="307">
        <f t="shared" ca="1" si="282"/>
        <v>0.4270000000000001</v>
      </c>
      <c r="T627" s="304">
        <f t="shared" ca="1" si="262"/>
        <v>4.1888700000000014</v>
      </c>
      <c r="U627" s="311">
        <f t="shared" ca="1" si="263"/>
        <v>0</v>
      </c>
      <c r="V627" s="306">
        <f t="shared" ca="1" si="264"/>
        <v>1.2255262953804706</v>
      </c>
      <c r="W627" s="304">
        <f t="shared" ca="1" si="265"/>
        <v>3.5493821448294787</v>
      </c>
      <c r="Y627" s="314" t="str">
        <f t="shared" ca="1" si="283"/>
        <v/>
      </c>
      <c r="Z627" s="315" t="str">
        <f t="shared" ca="1" si="284"/>
        <v/>
      </c>
      <c r="AA627" s="316" t="str">
        <f t="shared" ca="1" si="285"/>
        <v/>
      </c>
      <c r="AC627" s="310" t="e">
        <f t="shared" ca="1" si="286"/>
        <v>#N/A</v>
      </c>
      <c r="AD627" s="323" t="e">
        <f t="shared" ca="1" si="287"/>
        <v>#N/A</v>
      </c>
      <c r="AE627" s="324" t="e">
        <f t="shared" ca="1" si="266"/>
        <v>#N/A</v>
      </c>
      <c r="AG627" s="306">
        <f t="shared" ca="1" si="288"/>
        <v>1.4726218613849724</v>
      </c>
      <c r="AH627" s="304">
        <f t="shared" ca="1" si="289"/>
        <v>-8.3123192366536891</v>
      </c>
    </row>
    <row r="628" spans="1:34" x14ac:dyDescent="0.3">
      <c r="A628" s="347">
        <f t="shared" ca="1" si="267"/>
        <v>1E-4</v>
      </c>
      <c r="B628" s="304">
        <f t="shared" ca="1" si="268"/>
        <v>16.128299999999896</v>
      </c>
      <c r="D628" s="306">
        <f t="shared" ca="1" si="269"/>
        <v>-0.59374608102886317</v>
      </c>
      <c r="E628" s="307">
        <f t="shared" ca="1" si="270"/>
        <v>-1.5188621627507857</v>
      </c>
      <c r="F628" s="304">
        <f t="shared" ca="1" si="271"/>
        <v>1.6307902005387227</v>
      </c>
      <c r="G628" s="306">
        <f t="shared" ca="1" si="272"/>
        <v>3.7375244207418206</v>
      </c>
      <c r="H628" s="307">
        <f t="shared" ca="1" si="273"/>
        <v>-52.192197300338051</v>
      </c>
      <c r="I628" s="304">
        <f t="shared" ca="1" si="274"/>
        <v>52.325849709613472</v>
      </c>
      <c r="J628" s="306">
        <f t="shared" ca="1" si="275"/>
        <v>150.09587023194715</v>
      </c>
      <c r="K628" s="307">
        <f t="shared" ca="1" si="276"/>
        <v>-4.3005853256310811</v>
      </c>
      <c r="L628" s="304">
        <f t="shared" ca="1" si="261"/>
        <v>150.15746832851354</v>
      </c>
      <c r="M628" s="306">
        <f t="shared" ca="1" si="277"/>
        <v>-1.4993075718945421</v>
      </c>
      <c r="N628" s="304">
        <f t="shared" ca="1" si="278"/>
        <v>-85.903996061564513</v>
      </c>
      <c r="P628" s="310">
        <f t="shared" ca="1" si="279"/>
        <v>23</v>
      </c>
      <c r="Q628" s="304">
        <f t="shared" ca="1" si="280"/>
        <v>0</v>
      </c>
      <c r="R628" s="306">
        <f t="shared" ca="1" si="281"/>
        <v>0</v>
      </c>
      <c r="S628" s="307">
        <f t="shared" ca="1" si="282"/>
        <v>0.4270000000000001</v>
      </c>
      <c r="T628" s="304">
        <f t="shared" ca="1" si="262"/>
        <v>4.1888700000000014</v>
      </c>
      <c r="U628" s="311">
        <f t="shared" ca="1" si="263"/>
        <v>0</v>
      </c>
      <c r="V628" s="306">
        <f t="shared" ca="1" si="264"/>
        <v>1.2255269350088385</v>
      </c>
      <c r="W628" s="304">
        <f t="shared" ca="1" si="265"/>
        <v>3.549403975010395</v>
      </c>
      <c r="Y628" s="314" t="str">
        <f t="shared" ca="1" si="283"/>
        <v/>
      </c>
      <c r="Z628" s="315" t="str">
        <f t="shared" ca="1" si="284"/>
        <v/>
      </c>
      <c r="AA628" s="316" t="str">
        <f t="shared" ca="1" si="285"/>
        <v/>
      </c>
      <c r="AC628" s="310" t="e">
        <f t="shared" ca="1" si="286"/>
        <v>#N/A</v>
      </c>
      <c r="AD628" s="323" t="e">
        <f t="shared" ca="1" si="287"/>
        <v>#N/A</v>
      </c>
      <c r="AE628" s="324" t="e">
        <f t="shared" ca="1" si="266"/>
        <v>#N/A</v>
      </c>
      <c r="AG628" s="306">
        <f t="shared" ca="1" si="288"/>
        <v>1.4725716738379155</v>
      </c>
      <c r="AH628" s="304">
        <f t="shared" ca="1" si="289"/>
        <v>-8.3123703625983083</v>
      </c>
    </row>
    <row r="629" spans="1:34" x14ac:dyDescent="0.3">
      <c r="A629" s="347">
        <f t="shared" ca="1" si="267"/>
        <v>1E-4</v>
      </c>
      <c r="B629" s="304">
        <f t="shared" ca="1" si="268"/>
        <v>16.128399999999896</v>
      </c>
      <c r="D629" s="306">
        <f t="shared" ca="1" si="269"/>
        <v>-0.59373862968518576</v>
      </c>
      <c r="E629" s="307">
        <f t="shared" ca="1" si="270"/>
        <v>-1.5188103736828484</v>
      </c>
      <c r="F629" s="304">
        <f t="shared" ca="1" si="271"/>
        <v>1.6307392530956859</v>
      </c>
      <c r="G629" s="306">
        <f t="shared" ca="1" si="272"/>
        <v>3.7374650468788522</v>
      </c>
      <c r="H629" s="307">
        <f t="shared" ca="1" si="273"/>
        <v>-52.19234918137542</v>
      </c>
      <c r="I629" s="304">
        <f t="shared" ca="1" si="274"/>
        <v>52.325996961809146</v>
      </c>
      <c r="J629" s="306">
        <f t="shared" ca="1" si="275"/>
        <v>150.09587023194715</v>
      </c>
      <c r="K629" s="307">
        <f t="shared" ca="1" si="276"/>
        <v>-4.3058045529551672</v>
      </c>
      <c r="L629" s="304">
        <f t="shared" ca="1" si="261"/>
        <v>150.15761790043743</v>
      </c>
      <c r="M629" s="306">
        <f t="shared" ca="1" si="277"/>
        <v>-1.4993089110137676</v>
      </c>
      <c r="N629" s="304">
        <f t="shared" ca="1" si="278"/>
        <v>-85.904072787444392</v>
      </c>
      <c r="P629" s="310">
        <f t="shared" ca="1" si="279"/>
        <v>23</v>
      </c>
      <c r="Q629" s="304">
        <f t="shared" ca="1" si="280"/>
        <v>0</v>
      </c>
      <c r="R629" s="306">
        <f t="shared" ca="1" si="281"/>
        <v>0</v>
      </c>
      <c r="S629" s="307">
        <f t="shared" ca="1" si="282"/>
        <v>0.4270000000000001</v>
      </c>
      <c r="T629" s="304">
        <f t="shared" ca="1" si="262"/>
        <v>4.1888700000000014</v>
      </c>
      <c r="U629" s="311">
        <f t="shared" ca="1" si="263"/>
        <v>0</v>
      </c>
      <c r="V629" s="306">
        <f t="shared" ca="1" si="264"/>
        <v>1.2255275746394012</v>
      </c>
      <c r="W629" s="304">
        <f t="shared" ca="1" si="265"/>
        <v>3.5494258045938891</v>
      </c>
      <c r="Y629" s="314" t="str">
        <f t="shared" ca="1" si="283"/>
        <v/>
      </c>
      <c r="Z629" s="315" t="str">
        <f t="shared" ca="1" si="284"/>
        <v/>
      </c>
      <c r="AA629" s="316" t="str">
        <f t="shared" ca="1" si="285"/>
        <v/>
      </c>
      <c r="AC629" s="310" t="e">
        <f t="shared" ca="1" si="286"/>
        <v>#N/A</v>
      </c>
      <c r="AD629" s="323" t="e">
        <f t="shared" ca="1" si="287"/>
        <v>#N/A</v>
      </c>
      <c r="AE629" s="324" t="e">
        <f t="shared" ca="1" si="266"/>
        <v>#N/A</v>
      </c>
      <c r="AG629" s="306">
        <f t="shared" ca="1" si="288"/>
        <v>1.472521487652271</v>
      </c>
      <c r="AH629" s="304">
        <f t="shared" ca="1" si="289"/>
        <v>-8.31242148714378</v>
      </c>
    </row>
    <row r="630" spans="1:34" x14ac:dyDescent="0.3">
      <c r="A630" s="347">
        <f t="shared" ca="1" si="267"/>
        <v>1E-4</v>
      </c>
      <c r="B630" s="304">
        <f t="shared" ca="1" si="268"/>
        <v>16.128499999999896</v>
      </c>
      <c r="D630" s="306">
        <f t="shared" ca="1" si="269"/>
        <v>-0.59373117834280942</v>
      </c>
      <c r="E630" s="307">
        <f t="shared" ca="1" si="270"/>
        <v>-1.5187585860326465</v>
      </c>
      <c r="F630" s="304">
        <f t="shared" ca="1" si="271"/>
        <v>1.6306883070606182</v>
      </c>
      <c r="G630" s="306">
        <f t="shared" ca="1" si="272"/>
        <v>3.737405673761018</v>
      </c>
      <c r="H630" s="307">
        <f t="shared" ca="1" si="273"/>
        <v>-52.192501057234026</v>
      </c>
      <c r="I630" s="304">
        <f t="shared" ca="1" si="274"/>
        <v>52.326144208986349</v>
      </c>
      <c r="J630" s="306">
        <f t="shared" ca="1" si="275"/>
        <v>150.09587023194715</v>
      </c>
      <c r="K630" s="307">
        <f t="shared" ca="1" si="276"/>
        <v>-4.311023795467098</v>
      </c>
      <c r="L630" s="304">
        <f t="shared" ca="1" si="261"/>
        <v>150.15776765405977</v>
      </c>
      <c r="M630" s="306">
        <f t="shared" ca="1" si="277"/>
        <v>-1.4993102501041835</v>
      </c>
      <c r="N630" s="304">
        <f t="shared" ca="1" si="278"/>
        <v>-85.904149511673609</v>
      </c>
      <c r="P630" s="310">
        <f t="shared" ca="1" si="279"/>
        <v>23</v>
      </c>
      <c r="Q630" s="304">
        <f t="shared" ca="1" si="280"/>
        <v>0</v>
      </c>
      <c r="R630" s="306">
        <f t="shared" ca="1" si="281"/>
        <v>0</v>
      </c>
      <c r="S630" s="307">
        <f t="shared" ca="1" si="282"/>
        <v>0.4270000000000001</v>
      </c>
      <c r="T630" s="304">
        <f t="shared" ca="1" si="262"/>
        <v>4.1888700000000014</v>
      </c>
      <c r="U630" s="311">
        <f t="shared" ca="1" si="263"/>
        <v>0</v>
      </c>
      <c r="V630" s="306">
        <f t="shared" ca="1" si="264"/>
        <v>1.2255282142721597</v>
      </c>
      <c r="W630" s="304">
        <f t="shared" ca="1" si="265"/>
        <v>3.5494476335799754</v>
      </c>
      <c r="Y630" s="314" t="str">
        <f t="shared" ca="1" si="283"/>
        <v/>
      </c>
      <c r="Z630" s="315" t="str">
        <f t="shared" ca="1" si="284"/>
        <v/>
      </c>
      <c r="AA630" s="316" t="str">
        <f t="shared" ca="1" si="285"/>
        <v/>
      </c>
      <c r="AC630" s="310" t="e">
        <f t="shared" ca="1" si="286"/>
        <v>#N/A</v>
      </c>
      <c r="AD630" s="323" t="e">
        <f t="shared" ca="1" si="287"/>
        <v>#N/A</v>
      </c>
      <c r="AE630" s="324" t="e">
        <f t="shared" ca="1" si="266"/>
        <v>#N/A</v>
      </c>
      <c r="AG630" s="306">
        <f t="shared" ca="1" si="288"/>
        <v>1.4724713028280068</v>
      </c>
      <c r="AH630" s="304">
        <f t="shared" ca="1" si="289"/>
        <v>-8.3124726102901363</v>
      </c>
    </row>
    <row r="631" spans="1:34" x14ac:dyDescent="0.3">
      <c r="A631" s="347">
        <f t="shared" ca="1" si="267"/>
        <v>1E-4</v>
      </c>
      <c r="B631" s="304">
        <f t="shared" ca="1" si="268"/>
        <v>16.128599999999896</v>
      </c>
      <c r="D631" s="306">
        <f t="shared" ca="1" si="269"/>
        <v>-0.59372372700173748</v>
      </c>
      <c r="E631" s="307">
        <f t="shared" ca="1" si="270"/>
        <v>-1.518706799800146</v>
      </c>
      <c r="F631" s="304">
        <f t="shared" ca="1" si="271"/>
        <v>1.6306373624334856</v>
      </c>
      <c r="G631" s="306">
        <f t="shared" ca="1" si="272"/>
        <v>3.7373463013883179</v>
      </c>
      <c r="H631" s="307">
        <f t="shared" ca="1" si="273"/>
        <v>-52.192652927914004</v>
      </c>
      <c r="I631" s="304">
        <f t="shared" ca="1" si="274"/>
        <v>52.326291451145202</v>
      </c>
      <c r="J631" s="306">
        <f t="shared" ca="1" si="275"/>
        <v>150.09587023194715</v>
      </c>
      <c r="K631" s="307">
        <f t="shared" ca="1" si="276"/>
        <v>-4.3162430531663558</v>
      </c>
      <c r="L631" s="304">
        <f t="shared" ca="1" si="261"/>
        <v>150.15791758938161</v>
      </c>
      <c r="M631" s="306">
        <f t="shared" ca="1" si="277"/>
        <v>-1.4993115891657907</v>
      </c>
      <c r="N631" s="304">
        <f t="shared" ca="1" si="278"/>
        <v>-85.904226234252206</v>
      </c>
      <c r="P631" s="310">
        <f t="shared" ca="1" si="279"/>
        <v>23</v>
      </c>
      <c r="Q631" s="304">
        <f t="shared" ca="1" si="280"/>
        <v>0</v>
      </c>
      <c r="R631" s="306">
        <f t="shared" ca="1" si="281"/>
        <v>0</v>
      </c>
      <c r="S631" s="307">
        <f t="shared" ca="1" si="282"/>
        <v>0.4270000000000001</v>
      </c>
      <c r="T631" s="304">
        <f t="shared" ca="1" si="262"/>
        <v>4.1888700000000014</v>
      </c>
      <c r="U631" s="311">
        <f t="shared" ca="1" si="263"/>
        <v>0</v>
      </c>
      <c r="V631" s="306">
        <f t="shared" ca="1" si="264"/>
        <v>1.2255288539071132</v>
      </c>
      <c r="W631" s="304">
        <f t="shared" ca="1" si="265"/>
        <v>3.5494694619686618</v>
      </c>
      <c r="Y631" s="314" t="str">
        <f t="shared" ca="1" si="283"/>
        <v/>
      </c>
      <c r="Z631" s="315" t="str">
        <f t="shared" ca="1" si="284"/>
        <v/>
      </c>
      <c r="AA631" s="316" t="str">
        <f t="shared" ca="1" si="285"/>
        <v/>
      </c>
      <c r="AC631" s="310" t="e">
        <f t="shared" ca="1" si="286"/>
        <v>#N/A</v>
      </c>
      <c r="AD631" s="323" t="e">
        <f t="shared" ca="1" si="287"/>
        <v>#N/A</v>
      </c>
      <c r="AE631" s="324" t="e">
        <f t="shared" ca="1" si="266"/>
        <v>#N/A</v>
      </c>
      <c r="AG631" s="306">
        <f t="shared" ca="1" si="288"/>
        <v>1.4724211193650909</v>
      </c>
      <c r="AH631" s="304">
        <f t="shared" ca="1" si="289"/>
        <v>-8.3125237320374108</v>
      </c>
    </row>
    <row r="632" spans="1:34" x14ac:dyDescent="0.3">
      <c r="A632" s="347">
        <f t="shared" ca="1" si="267"/>
        <v>1E-4</v>
      </c>
      <c r="B632" s="304">
        <f t="shared" ca="1" si="268"/>
        <v>16.128699999999895</v>
      </c>
      <c r="D632" s="306">
        <f t="shared" ca="1" si="269"/>
        <v>-0.59371627566197405</v>
      </c>
      <c r="E632" s="307">
        <f t="shared" ca="1" si="270"/>
        <v>-1.5186550149853293</v>
      </c>
      <c r="F632" s="304">
        <f t="shared" ca="1" si="271"/>
        <v>1.6305864192142703</v>
      </c>
      <c r="G632" s="306">
        <f t="shared" ca="1" si="272"/>
        <v>3.7372869297607516</v>
      </c>
      <c r="H632" s="307">
        <f t="shared" ca="1" si="273"/>
        <v>-52.192804793415505</v>
      </c>
      <c r="I632" s="304">
        <f t="shared" ca="1" si="274"/>
        <v>52.32643868828584</v>
      </c>
      <c r="J632" s="306">
        <f t="shared" ca="1" si="275"/>
        <v>150.09587023194715</v>
      </c>
      <c r="K632" s="307">
        <f t="shared" ca="1" si="276"/>
        <v>-4.3214623260524219</v>
      </c>
      <c r="L632" s="304">
        <f t="shared" ca="1" si="261"/>
        <v>150.15806770640398</v>
      </c>
      <c r="M632" s="306">
        <f t="shared" ca="1" si="277"/>
        <v>-1.4993129281985895</v>
      </c>
      <c r="N632" s="304">
        <f t="shared" ca="1" si="278"/>
        <v>-85.904302955180214</v>
      </c>
      <c r="P632" s="310">
        <f t="shared" ca="1" si="279"/>
        <v>23</v>
      </c>
      <c r="Q632" s="304">
        <f t="shared" ca="1" si="280"/>
        <v>0</v>
      </c>
      <c r="R632" s="306">
        <f t="shared" ca="1" si="281"/>
        <v>0</v>
      </c>
      <c r="S632" s="307">
        <f t="shared" ca="1" si="282"/>
        <v>0.4270000000000001</v>
      </c>
      <c r="T632" s="304">
        <f t="shared" ca="1" si="262"/>
        <v>4.1888700000000014</v>
      </c>
      <c r="U632" s="311">
        <f t="shared" ca="1" si="263"/>
        <v>0</v>
      </c>
      <c r="V632" s="306">
        <f t="shared" ca="1" si="264"/>
        <v>1.2255294935442618</v>
      </c>
      <c r="W632" s="304">
        <f t="shared" ca="1" si="265"/>
        <v>3.549491289759962</v>
      </c>
      <c r="Y632" s="314" t="str">
        <f t="shared" ca="1" si="283"/>
        <v/>
      </c>
      <c r="Z632" s="315" t="str">
        <f t="shared" ca="1" si="284"/>
        <v/>
      </c>
      <c r="AA632" s="316" t="str">
        <f t="shared" ca="1" si="285"/>
        <v/>
      </c>
      <c r="AC632" s="310" t="e">
        <f t="shared" ca="1" si="286"/>
        <v>#N/A</v>
      </c>
      <c r="AD632" s="323" t="e">
        <f t="shared" ca="1" si="287"/>
        <v>#N/A</v>
      </c>
      <c r="AE632" s="324" t="e">
        <f t="shared" ca="1" si="266"/>
        <v>#N/A</v>
      </c>
      <c r="AG632" s="306">
        <f t="shared" ca="1" si="288"/>
        <v>1.4723709372635074</v>
      </c>
      <c r="AH632" s="304">
        <f t="shared" ca="1" si="289"/>
        <v>-8.3125748523856231</v>
      </c>
    </row>
    <row r="633" spans="1:34" x14ac:dyDescent="0.3">
      <c r="A633" s="347">
        <f t="shared" ca="1" si="267"/>
        <v>1E-4</v>
      </c>
      <c r="B633" s="304">
        <f t="shared" ca="1" si="268"/>
        <v>16.128799999999895</v>
      </c>
      <c r="D633" s="306">
        <f t="shared" ca="1" si="269"/>
        <v>-0.59370882432352745</v>
      </c>
      <c r="E633" s="307">
        <f t="shared" ca="1" si="270"/>
        <v>-1.5186032315881626</v>
      </c>
      <c r="F633" s="304">
        <f t="shared" ca="1" si="271"/>
        <v>1.6305354774029406</v>
      </c>
      <c r="G633" s="306">
        <f t="shared" ca="1" si="272"/>
        <v>3.737227558878319</v>
      </c>
      <c r="H633" s="307">
        <f t="shared" ca="1" si="273"/>
        <v>-52.192956653738662</v>
      </c>
      <c r="I633" s="304">
        <f t="shared" ca="1" si="274"/>
        <v>52.326585920408398</v>
      </c>
      <c r="J633" s="306">
        <f t="shared" ca="1" si="275"/>
        <v>150.09587023194715</v>
      </c>
      <c r="K633" s="307">
        <f t="shared" ca="1" si="276"/>
        <v>-4.3266816141247793</v>
      </c>
      <c r="L633" s="304">
        <f t="shared" ca="1" si="261"/>
        <v>150.15821800512794</v>
      </c>
      <c r="M633" s="306">
        <f t="shared" ca="1" si="277"/>
        <v>-1.4993142672025812</v>
      </c>
      <c r="N633" s="304">
        <f t="shared" ca="1" si="278"/>
        <v>-85.904379674457687</v>
      </c>
      <c r="P633" s="310">
        <f t="shared" ca="1" si="279"/>
        <v>23</v>
      </c>
      <c r="Q633" s="304">
        <f t="shared" ca="1" si="280"/>
        <v>0</v>
      </c>
      <c r="R633" s="306">
        <f t="shared" ca="1" si="281"/>
        <v>0</v>
      </c>
      <c r="S633" s="307">
        <f t="shared" ca="1" si="282"/>
        <v>0.4270000000000001</v>
      </c>
      <c r="T633" s="304">
        <f t="shared" ca="1" si="262"/>
        <v>4.1888700000000014</v>
      </c>
      <c r="U633" s="311">
        <f t="shared" ca="1" si="263"/>
        <v>0</v>
      </c>
      <c r="V633" s="306">
        <f t="shared" ca="1" si="264"/>
        <v>1.2255301331836055</v>
      </c>
      <c r="W633" s="304">
        <f t="shared" ca="1" si="265"/>
        <v>3.5495131169538867</v>
      </c>
      <c r="Y633" s="314" t="str">
        <f t="shared" ca="1" si="283"/>
        <v/>
      </c>
      <c r="Z633" s="315" t="str">
        <f t="shared" ca="1" si="284"/>
        <v/>
      </c>
      <c r="AA633" s="316" t="str">
        <f t="shared" ca="1" si="285"/>
        <v/>
      </c>
      <c r="AC633" s="310" t="e">
        <f t="shared" ca="1" si="286"/>
        <v>#N/A</v>
      </c>
      <c r="AD633" s="323" t="e">
        <f t="shared" ca="1" si="287"/>
        <v>#N/A</v>
      </c>
      <c r="AE633" s="324" t="e">
        <f t="shared" ca="1" si="266"/>
        <v>#N/A</v>
      </c>
      <c r="AG633" s="306">
        <f t="shared" ca="1" si="288"/>
        <v>1.4723207565232226</v>
      </c>
      <c r="AH633" s="304">
        <f t="shared" ca="1" si="289"/>
        <v>-8.3126259713348034</v>
      </c>
    </row>
    <row r="634" spans="1:34" x14ac:dyDescent="0.3">
      <c r="A634" s="347">
        <f t="shared" ca="1" si="267"/>
        <v>1E-4</v>
      </c>
      <c r="B634" s="304">
        <f t="shared" ca="1" si="268"/>
        <v>16.128899999999895</v>
      </c>
      <c r="D634" s="306">
        <f t="shared" ca="1" si="269"/>
        <v>-0.59370137298640069</v>
      </c>
      <c r="E634" s="307">
        <f t="shared" ca="1" si="270"/>
        <v>-1.518551449608621</v>
      </c>
      <c r="F634" s="304">
        <f t="shared" ca="1" si="271"/>
        <v>1.6304845369994716</v>
      </c>
      <c r="G634" s="306">
        <f t="shared" ca="1" si="272"/>
        <v>3.7371681887410202</v>
      </c>
      <c r="H634" s="307">
        <f t="shared" ca="1" si="273"/>
        <v>-52.193108508883626</v>
      </c>
      <c r="I634" s="304">
        <f t="shared" ca="1" si="274"/>
        <v>52.326733147513025</v>
      </c>
      <c r="J634" s="306">
        <f t="shared" ca="1" si="275"/>
        <v>150.09587023194715</v>
      </c>
      <c r="K634" s="307">
        <f t="shared" ca="1" si="276"/>
        <v>-4.3319009173829102</v>
      </c>
      <c r="L634" s="304">
        <f t="shared" ca="1" si="261"/>
        <v>150.1583684855544</v>
      </c>
      <c r="M634" s="306">
        <f t="shared" ca="1" si="277"/>
        <v>-1.4993156061777664</v>
      </c>
      <c r="N634" s="304">
        <f t="shared" ca="1" si="278"/>
        <v>-85.904456392084668</v>
      </c>
      <c r="P634" s="310">
        <f t="shared" ca="1" si="279"/>
        <v>23</v>
      </c>
      <c r="Q634" s="304">
        <f t="shared" ca="1" si="280"/>
        <v>0</v>
      </c>
      <c r="R634" s="306">
        <f t="shared" ca="1" si="281"/>
        <v>0</v>
      </c>
      <c r="S634" s="307">
        <f t="shared" ca="1" si="282"/>
        <v>0.4270000000000001</v>
      </c>
      <c r="T634" s="304">
        <f t="shared" ca="1" si="262"/>
        <v>4.1888700000000014</v>
      </c>
      <c r="U634" s="311">
        <f t="shared" ca="1" si="263"/>
        <v>0</v>
      </c>
      <c r="V634" s="306">
        <f t="shared" ca="1" si="264"/>
        <v>1.2255307728251439</v>
      </c>
      <c r="W634" s="304">
        <f t="shared" ca="1" si="265"/>
        <v>3.5495349435504475</v>
      </c>
      <c r="Y634" s="314" t="str">
        <f t="shared" ca="1" si="283"/>
        <v/>
      </c>
      <c r="Z634" s="315" t="str">
        <f t="shared" ca="1" si="284"/>
        <v/>
      </c>
      <c r="AA634" s="316" t="str">
        <f t="shared" ca="1" si="285"/>
        <v/>
      </c>
      <c r="AC634" s="310" t="e">
        <f t="shared" ca="1" si="286"/>
        <v>#N/A</v>
      </c>
      <c r="AD634" s="323" t="e">
        <f t="shared" ca="1" si="287"/>
        <v>#N/A</v>
      </c>
      <c r="AE634" s="324" t="e">
        <f t="shared" ca="1" si="266"/>
        <v>#N/A</v>
      </c>
      <c r="AG634" s="306">
        <f t="shared" ca="1" si="288"/>
        <v>1.4722705771442168</v>
      </c>
      <c r="AH634" s="304">
        <f t="shared" ca="1" si="289"/>
        <v>-8.3126770888849784</v>
      </c>
    </row>
    <row r="635" spans="1:34" x14ac:dyDescent="0.3">
      <c r="A635" s="347">
        <f t="shared" ca="1" si="267"/>
        <v>1E-4</v>
      </c>
      <c r="B635" s="304">
        <f t="shared" ca="1" si="268"/>
        <v>16.128999999999895</v>
      </c>
      <c r="D635" s="306">
        <f t="shared" ca="1" si="269"/>
        <v>-0.59369392165060031</v>
      </c>
      <c r="E635" s="307">
        <f t="shared" ca="1" si="270"/>
        <v>-1.5184996690466761</v>
      </c>
      <c r="F635" s="304">
        <f t="shared" ca="1" si="271"/>
        <v>1.6304335980038358</v>
      </c>
      <c r="G635" s="306">
        <f t="shared" ca="1" si="272"/>
        <v>3.7371088193488551</v>
      </c>
      <c r="H635" s="307">
        <f t="shared" ca="1" si="273"/>
        <v>-52.19326035885053</v>
      </c>
      <c r="I635" s="304">
        <f t="shared" ca="1" si="274"/>
        <v>52.326880369599841</v>
      </c>
      <c r="J635" s="306">
        <f t="shared" ca="1" si="275"/>
        <v>150.09587023194715</v>
      </c>
      <c r="K635" s="307">
        <f t="shared" ca="1" si="276"/>
        <v>-4.3371202358262968</v>
      </c>
      <c r="L635" s="304">
        <f t="shared" ca="1" si="261"/>
        <v>150.1585191476845</v>
      </c>
      <c r="M635" s="306">
        <f t="shared" ca="1" si="277"/>
        <v>-1.4993169451241461</v>
      </c>
      <c r="N635" s="304">
        <f t="shared" ca="1" si="278"/>
        <v>-85.90453310806123</v>
      </c>
      <c r="P635" s="310">
        <f t="shared" ca="1" si="279"/>
        <v>23</v>
      </c>
      <c r="Q635" s="304">
        <f t="shared" ca="1" si="280"/>
        <v>0</v>
      </c>
      <c r="R635" s="306">
        <f t="shared" ca="1" si="281"/>
        <v>0</v>
      </c>
      <c r="S635" s="307">
        <f t="shared" ca="1" si="282"/>
        <v>0.4270000000000001</v>
      </c>
      <c r="T635" s="304">
        <f t="shared" ca="1" si="262"/>
        <v>4.1888700000000014</v>
      </c>
      <c r="U635" s="311">
        <f t="shared" ca="1" si="263"/>
        <v>0</v>
      </c>
      <c r="V635" s="306">
        <f t="shared" ca="1" si="264"/>
        <v>1.2255314124688772</v>
      </c>
      <c r="W635" s="304">
        <f t="shared" ca="1" si="265"/>
        <v>3.5495567695496564</v>
      </c>
      <c r="Y635" s="314" t="str">
        <f t="shared" ca="1" si="283"/>
        <v/>
      </c>
      <c r="Z635" s="315" t="str">
        <f t="shared" ca="1" si="284"/>
        <v/>
      </c>
      <c r="AA635" s="316" t="str">
        <f t="shared" ca="1" si="285"/>
        <v/>
      </c>
      <c r="AC635" s="310" t="e">
        <f t="shared" ca="1" si="286"/>
        <v>#N/A</v>
      </c>
      <c r="AD635" s="323" t="e">
        <f t="shared" ca="1" si="287"/>
        <v>#N/A</v>
      </c>
      <c r="AE635" s="324" t="e">
        <f t="shared" ca="1" si="266"/>
        <v>#N/A</v>
      </c>
      <c r="AG635" s="306">
        <f t="shared" ca="1" si="288"/>
        <v>1.4722203991264635</v>
      </c>
      <c r="AH635" s="304">
        <f t="shared" ca="1" si="289"/>
        <v>-8.3127282050361746</v>
      </c>
    </row>
    <row r="636" spans="1:34" x14ac:dyDescent="0.3">
      <c r="A636" s="347">
        <f t="shared" ca="1" si="267"/>
        <v>1E-4</v>
      </c>
      <c r="B636" s="304">
        <f t="shared" ca="1" si="268"/>
        <v>16.129099999999895</v>
      </c>
      <c r="D636" s="306">
        <f t="shared" ca="1" si="269"/>
        <v>-0.59368647031612898</v>
      </c>
      <c r="E636" s="307">
        <f t="shared" ca="1" si="270"/>
        <v>-1.5184478899023013</v>
      </c>
      <c r="F636" s="304">
        <f t="shared" ca="1" si="271"/>
        <v>1.6303826604160065</v>
      </c>
      <c r="G636" s="306">
        <f t="shared" ca="1" si="272"/>
        <v>3.7370494507018233</v>
      </c>
      <c r="H636" s="307">
        <f t="shared" ca="1" si="273"/>
        <v>-52.193412203639518</v>
      </c>
      <c r="I636" s="304">
        <f t="shared" ca="1" si="274"/>
        <v>52.32702758666899</v>
      </c>
      <c r="J636" s="306">
        <f t="shared" ca="1" si="275"/>
        <v>150.09587023194715</v>
      </c>
      <c r="K636" s="307">
        <f t="shared" ca="1" si="276"/>
        <v>-4.3423395694544213</v>
      </c>
      <c r="L636" s="304">
        <f t="shared" ca="1" si="261"/>
        <v>150.15866999151919</v>
      </c>
      <c r="M636" s="306">
        <f t="shared" ca="1" si="277"/>
        <v>-1.499318284041721</v>
      </c>
      <c r="N636" s="304">
        <f t="shared" ca="1" si="278"/>
        <v>-85.904609822387386</v>
      </c>
      <c r="P636" s="310">
        <f t="shared" ca="1" si="279"/>
        <v>23</v>
      </c>
      <c r="Q636" s="304">
        <f t="shared" ca="1" si="280"/>
        <v>0</v>
      </c>
      <c r="R636" s="306">
        <f t="shared" ca="1" si="281"/>
        <v>0</v>
      </c>
      <c r="S636" s="307">
        <f t="shared" ca="1" si="282"/>
        <v>0.4270000000000001</v>
      </c>
      <c r="T636" s="304">
        <f t="shared" ca="1" si="262"/>
        <v>4.1888700000000014</v>
      </c>
      <c r="U636" s="311">
        <f t="shared" ca="1" si="263"/>
        <v>0</v>
      </c>
      <c r="V636" s="306">
        <f t="shared" ca="1" si="264"/>
        <v>1.2255320521148059</v>
      </c>
      <c r="W636" s="304">
        <f t="shared" ca="1" si="265"/>
        <v>3.5495785949515262</v>
      </c>
      <c r="Y636" s="314" t="str">
        <f t="shared" ca="1" si="283"/>
        <v/>
      </c>
      <c r="Z636" s="315" t="str">
        <f t="shared" ca="1" si="284"/>
        <v/>
      </c>
      <c r="AA636" s="316" t="str">
        <f t="shared" ca="1" si="285"/>
        <v/>
      </c>
      <c r="AC636" s="310" t="e">
        <f t="shared" ca="1" si="286"/>
        <v>#N/A</v>
      </c>
      <c r="AD636" s="323" t="e">
        <f t="shared" ca="1" si="287"/>
        <v>#N/A</v>
      </c>
      <c r="AE636" s="324" t="e">
        <f t="shared" ca="1" si="266"/>
        <v>#N/A</v>
      </c>
      <c r="AG636" s="306">
        <f t="shared" ca="1" si="288"/>
        <v>1.4721702224699378</v>
      </c>
      <c r="AH636" s="304">
        <f t="shared" ca="1" si="289"/>
        <v>-8.3127793197884206</v>
      </c>
    </row>
    <row r="637" spans="1:34" x14ac:dyDescent="0.3">
      <c r="A637" s="347">
        <f t="shared" ca="1" si="267"/>
        <v>1E-4</v>
      </c>
      <c r="B637" s="304">
        <f t="shared" ca="1" si="268"/>
        <v>16.129199999999894</v>
      </c>
      <c r="D637" s="306">
        <f t="shared" ca="1" si="269"/>
        <v>-0.59367901898299535</v>
      </c>
      <c r="E637" s="307">
        <f t="shared" ca="1" si="270"/>
        <v>-1.5183961121754646</v>
      </c>
      <c r="F637" s="304">
        <f t="shared" ca="1" si="271"/>
        <v>1.6303317242359536</v>
      </c>
      <c r="G637" s="306">
        <f t="shared" ca="1" si="272"/>
        <v>3.7369900827999252</v>
      </c>
      <c r="H637" s="307">
        <f t="shared" ca="1" si="273"/>
        <v>-52.193564043250738</v>
      </c>
      <c r="I637" s="304">
        <f t="shared" ca="1" si="274"/>
        <v>52.327174798720613</v>
      </c>
      <c r="J637" s="306">
        <f t="shared" ca="1" si="275"/>
        <v>150.09587023194715</v>
      </c>
      <c r="K637" s="307">
        <f t="shared" ca="1" si="276"/>
        <v>-4.347558918266766</v>
      </c>
      <c r="L637" s="304">
        <f t="shared" ca="1" si="261"/>
        <v>150.15882101705952</v>
      </c>
      <c r="M637" s="306">
        <f t="shared" ca="1" si="277"/>
        <v>-1.4993196229304919</v>
      </c>
      <c r="N637" s="304">
        <f t="shared" ca="1" si="278"/>
        <v>-85.904686535063192</v>
      </c>
      <c r="P637" s="310">
        <f t="shared" ca="1" si="279"/>
        <v>23</v>
      </c>
      <c r="Q637" s="304">
        <f t="shared" ca="1" si="280"/>
        <v>0</v>
      </c>
      <c r="R637" s="306">
        <f t="shared" ca="1" si="281"/>
        <v>0</v>
      </c>
      <c r="S637" s="307">
        <f t="shared" ca="1" si="282"/>
        <v>0.4270000000000001</v>
      </c>
      <c r="T637" s="304">
        <f t="shared" ca="1" si="262"/>
        <v>4.1888700000000014</v>
      </c>
      <c r="U637" s="311">
        <f t="shared" ca="1" si="263"/>
        <v>0</v>
      </c>
      <c r="V637" s="306">
        <f t="shared" ca="1" si="264"/>
        <v>1.2255326917629292</v>
      </c>
      <c r="W637" s="304">
        <f t="shared" ca="1" si="265"/>
        <v>3.5496004197560675</v>
      </c>
      <c r="Y637" s="314" t="str">
        <f t="shared" ca="1" si="283"/>
        <v/>
      </c>
      <c r="Z637" s="315" t="str">
        <f t="shared" ca="1" si="284"/>
        <v/>
      </c>
      <c r="AA637" s="316" t="str">
        <f t="shared" ca="1" si="285"/>
        <v/>
      </c>
      <c r="AC637" s="310" t="e">
        <f t="shared" ca="1" si="286"/>
        <v>#N/A</v>
      </c>
      <c r="AD637" s="323" t="e">
        <f t="shared" ca="1" si="287"/>
        <v>#N/A</v>
      </c>
      <c r="AE637" s="324" t="e">
        <f t="shared" ca="1" si="266"/>
        <v>#N/A</v>
      </c>
      <c r="AG637" s="306">
        <f t="shared" ca="1" si="288"/>
        <v>1.4721200471746076</v>
      </c>
      <c r="AH637" s="304">
        <f t="shared" ca="1" si="289"/>
        <v>-8.3128304331417446</v>
      </c>
    </row>
    <row r="638" spans="1:34" x14ac:dyDescent="0.3">
      <c r="A638" s="347">
        <f t="shared" ca="1" si="267"/>
        <v>1E-4</v>
      </c>
      <c r="B638" s="304">
        <f t="shared" ca="1" si="268"/>
        <v>16.129299999999894</v>
      </c>
      <c r="D638" s="306">
        <f t="shared" ca="1" si="269"/>
        <v>-0.5936715676512021</v>
      </c>
      <c r="E638" s="307">
        <f t="shared" ca="1" si="270"/>
        <v>-1.5183443358661393</v>
      </c>
      <c r="F638" s="304">
        <f t="shared" ca="1" si="271"/>
        <v>1.6302807894636504</v>
      </c>
      <c r="G638" s="306">
        <f t="shared" ca="1" si="272"/>
        <v>3.7369307156431599</v>
      </c>
      <c r="H638" s="307">
        <f t="shared" ca="1" si="273"/>
        <v>-52.193715877684326</v>
      </c>
      <c r="I638" s="304">
        <f t="shared" ca="1" si="274"/>
        <v>52.32732200575483</v>
      </c>
      <c r="J638" s="306">
        <f t="shared" ca="1" si="275"/>
        <v>150.09587023194715</v>
      </c>
      <c r="K638" s="307">
        <f t="shared" ca="1" si="276"/>
        <v>-4.3527782822628129</v>
      </c>
      <c r="L638" s="304">
        <f t="shared" ca="1" si="261"/>
        <v>150.15897222430652</v>
      </c>
      <c r="M638" s="306">
        <f t="shared" ca="1" si="277"/>
        <v>-1.4993209617904597</v>
      </c>
      <c r="N638" s="304">
        <f t="shared" ca="1" si="278"/>
        <v>-85.904763246088706</v>
      </c>
      <c r="P638" s="310">
        <f t="shared" ca="1" si="279"/>
        <v>23</v>
      </c>
      <c r="Q638" s="304">
        <f t="shared" ca="1" si="280"/>
        <v>0</v>
      </c>
      <c r="R638" s="306">
        <f t="shared" ca="1" si="281"/>
        <v>0</v>
      </c>
      <c r="S638" s="307">
        <f t="shared" ca="1" si="282"/>
        <v>0.4270000000000001</v>
      </c>
      <c r="T638" s="304">
        <f t="shared" ca="1" si="262"/>
        <v>4.1888700000000014</v>
      </c>
      <c r="U638" s="311">
        <f t="shared" ca="1" si="263"/>
        <v>0</v>
      </c>
      <c r="V638" s="306">
        <f t="shared" ca="1" si="264"/>
        <v>1.2255333314132471</v>
      </c>
      <c r="W638" s="304">
        <f t="shared" ca="1" si="265"/>
        <v>3.5496222439632903</v>
      </c>
      <c r="Y638" s="314" t="str">
        <f t="shared" ca="1" si="283"/>
        <v/>
      </c>
      <c r="Z638" s="315" t="str">
        <f t="shared" ca="1" si="284"/>
        <v/>
      </c>
      <c r="AA638" s="316" t="str">
        <f t="shared" ca="1" si="285"/>
        <v/>
      </c>
      <c r="AC638" s="310" t="e">
        <f t="shared" ca="1" si="286"/>
        <v>#N/A</v>
      </c>
      <c r="AD638" s="323" t="e">
        <f t="shared" ca="1" si="287"/>
        <v>#N/A</v>
      </c>
      <c r="AE638" s="324" t="e">
        <f t="shared" ca="1" si="266"/>
        <v>#N/A</v>
      </c>
      <c r="AG638" s="306">
        <f t="shared" ca="1" si="288"/>
        <v>1.4720698732404518</v>
      </c>
      <c r="AH638" s="304">
        <f t="shared" ca="1" si="289"/>
        <v>-8.3128815450961753</v>
      </c>
    </row>
    <row r="639" spans="1:34" x14ac:dyDescent="0.3">
      <c r="A639" s="347">
        <f t="shared" ca="1" si="267"/>
        <v>1E-4</v>
      </c>
      <c r="B639" s="304">
        <f t="shared" ca="1" si="268"/>
        <v>16.129399999999894</v>
      </c>
      <c r="D639" s="306">
        <f t="shared" ca="1" si="269"/>
        <v>-0.59366411632075533</v>
      </c>
      <c r="E639" s="307">
        <f t="shared" ca="1" si="270"/>
        <v>-1.5182925609743041</v>
      </c>
      <c r="F639" s="304">
        <f t="shared" ca="1" si="271"/>
        <v>1.630229856099076</v>
      </c>
      <c r="G639" s="306">
        <f t="shared" ca="1" si="272"/>
        <v>3.736871349231528</v>
      </c>
      <c r="H639" s="307">
        <f t="shared" ca="1" si="273"/>
        <v>-52.193867706940424</v>
      </c>
      <c r="I639" s="304">
        <f t="shared" ca="1" si="274"/>
        <v>52.327469207771799</v>
      </c>
      <c r="J639" s="306">
        <f t="shared" ca="1" si="275"/>
        <v>150.09587023194715</v>
      </c>
      <c r="K639" s="307">
        <f t="shared" ca="1" si="276"/>
        <v>-4.3579976614420444</v>
      </c>
      <c r="L639" s="304">
        <f t="shared" ca="1" si="261"/>
        <v>150.15912361326119</v>
      </c>
      <c r="M639" s="306">
        <f t="shared" ca="1" si="277"/>
        <v>-1.4993223006216254</v>
      </c>
      <c r="N639" s="304">
        <f t="shared" ca="1" si="278"/>
        <v>-85.904839955463984</v>
      </c>
      <c r="P639" s="310">
        <f t="shared" ca="1" si="279"/>
        <v>23</v>
      </c>
      <c r="Q639" s="304">
        <f t="shared" ca="1" si="280"/>
        <v>0</v>
      </c>
      <c r="R639" s="306">
        <f t="shared" ca="1" si="281"/>
        <v>0</v>
      </c>
      <c r="S639" s="307">
        <f t="shared" ca="1" si="282"/>
        <v>0.4270000000000001</v>
      </c>
      <c r="T639" s="304">
        <f t="shared" ca="1" si="262"/>
        <v>4.1888700000000014</v>
      </c>
      <c r="U639" s="311">
        <f t="shared" ca="1" si="263"/>
        <v>0</v>
      </c>
      <c r="V639" s="306">
        <f t="shared" ca="1" si="264"/>
        <v>1.2255339710657593</v>
      </c>
      <c r="W639" s="304">
        <f t="shared" ca="1" si="265"/>
        <v>3.549644067573209</v>
      </c>
      <c r="Y639" s="314" t="str">
        <f t="shared" ca="1" si="283"/>
        <v/>
      </c>
      <c r="Z639" s="315" t="str">
        <f t="shared" ca="1" si="284"/>
        <v/>
      </c>
      <c r="AA639" s="316" t="str">
        <f t="shared" ca="1" si="285"/>
        <v/>
      </c>
      <c r="AC639" s="310" t="e">
        <f t="shared" ca="1" si="286"/>
        <v>#N/A</v>
      </c>
      <c r="AD639" s="323" t="e">
        <f t="shared" ca="1" si="287"/>
        <v>#N/A</v>
      </c>
      <c r="AE639" s="324" t="e">
        <f t="shared" ca="1" si="266"/>
        <v>#N/A</v>
      </c>
      <c r="AG639" s="306">
        <f t="shared" ca="1" si="288"/>
        <v>1.4720197006674489</v>
      </c>
      <c r="AH639" s="304">
        <f t="shared" ca="1" si="289"/>
        <v>-8.312932655651732</v>
      </c>
    </row>
    <row r="640" spans="1:34" x14ac:dyDescent="0.3">
      <c r="A640" s="347">
        <f t="shared" ca="1" si="267"/>
        <v>1E-4</v>
      </c>
      <c r="B640" s="304">
        <f t="shared" ca="1" si="268"/>
        <v>16.129499999999894</v>
      </c>
      <c r="D640" s="306">
        <f t="shared" ca="1" si="269"/>
        <v>-0.59365666499165848</v>
      </c>
      <c r="E640" s="307">
        <f t="shared" ca="1" si="270"/>
        <v>-1.5182407874999253</v>
      </c>
      <c r="F640" s="304">
        <f t="shared" ca="1" si="271"/>
        <v>1.6301789241421973</v>
      </c>
      <c r="G640" s="306">
        <f t="shared" ca="1" si="272"/>
        <v>3.7368119835650289</v>
      </c>
      <c r="H640" s="307">
        <f t="shared" ca="1" si="273"/>
        <v>-52.194019531019173</v>
      </c>
      <c r="I640" s="304">
        <f t="shared" ca="1" si="274"/>
        <v>52.327616404771639</v>
      </c>
      <c r="J640" s="306">
        <f t="shared" ca="1" si="275"/>
        <v>150.09587023194715</v>
      </c>
      <c r="K640" s="307">
        <f t="shared" ca="1" si="276"/>
        <v>-4.3632170558039425</v>
      </c>
      <c r="L640" s="304">
        <f t="shared" ca="1" si="261"/>
        <v>150.15927518392454</v>
      </c>
      <c r="M640" s="306">
        <f t="shared" ca="1" si="277"/>
        <v>-1.4993236394239895</v>
      </c>
      <c r="N640" s="304">
        <f t="shared" ca="1" si="278"/>
        <v>-85.904916663189042</v>
      </c>
      <c r="P640" s="310">
        <f t="shared" ca="1" si="279"/>
        <v>23</v>
      </c>
      <c r="Q640" s="304">
        <f t="shared" ca="1" si="280"/>
        <v>0</v>
      </c>
      <c r="R640" s="306">
        <f t="shared" ca="1" si="281"/>
        <v>0</v>
      </c>
      <c r="S640" s="307">
        <f t="shared" ca="1" si="282"/>
        <v>0.4270000000000001</v>
      </c>
      <c r="T640" s="304">
        <f t="shared" ca="1" si="262"/>
        <v>4.1888700000000014</v>
      </c>
      <c r="U640" s="311">
        <f t="shared" ca="1" si="263"/>
        <v>0</v>
      </c>
      <c r="V640" s="306">
        <f t="shared" ca="1" si="264"/>
        <v>1.225534610720467</v>
      </c>
      <c r="W640" s="304">
        <f t="shared" ca="1" si="265"/>
        <v>3.5496658905858358</v>
      </c>
      <c r="Y640" s="314" t="str">
        <f t="shared" ca="1" si="283"/>
        <v/>
      </c>
      <c r="Z640" s="315" t="str">
        <f t="shared" ca="1" si="284"/>
        <v/>
      </c>
      <c r="AA640" s="316" t="str">
        <f t="shared" ca="1" si="285"/>
        <v/>
      </c>
      <c r="AC640" s="310" t="e">
        <f t="shared" ca="1" si="286"/>
        <v>#N/A</v>
      </c>
      <c r="AD640" s="323" t="e">
        <f t="shared" ca="1" si="287"/>
        <v>#N/A</v>
      </c>
      <c r="AE640" s="324" t="e">
        <f t="shared" ca="1" si="266"/>
        <v>#N/A</v>
      </c>
      <c r="AG640" s="306">
        <f t="shared" ca="1" si="288"/>
        <v>1.4719695294555688</v>
      </c>
      <c r="AH640" s="304">
        <f t="shared" ca="1" si="289"/>
        <v>-8.3129837648084504</v>
      </c>
    </row>
    <row r="641" spans="1:34" x14ac:dyDescent="0.3">
      <c r="A641" s="347">
        <f t="shared" ca="1" si="267"/>
        <v>1E-4</v>
      </c>
      <c r="B641" s="304">
        <f t="shared" ca="1" si="268"/>
        <v>16.129599999999893</v>
      </c>
      <c r="D641" s="306">
        <f t="shared" ca="1" si="269"/>
        <v>-0.59364921366391998</v>
      </c>
      <c r="E641" s="307">
        <f t="shared" ca="1" si="270"/>
        <v>-1.5181890154429727</v>
      </c>
      <c r="F641" s="304">
        <f t="shared" ca="1" si="271"/>
        <v>1.6301279935929855</v>
      </c>
      <c r="G641" s="306">
        <f t="shared" ca="1" si="272"/>
        <v>3.7367526186436626</v>
      </c>
      <c r="H641" s="307">
        <f t="shared" ca="1" si="273"/>
        <v>-52.194171349920715</v>
      </c>
      <c r="I641" s="304">
        <f t="shared" ca="1" si="274"/>
        <v>52.327763596754494</v>
      </c>
      <c r="J641" s="306">
        <f t="shared" ca="1" si="275"/>
        <v>150.09587023194715</v>
      </c>
      <c r="K641" s="307">
        <f t="shared" ca="1" si="276"/>
        <v>-4.3684364653479895</v>
      </c>
      <c r="L641" s="304">
        <f t="shared" ca="1" si="261"/>
        <v>150.15942693629759</v>
      </c>
      <c r="M641" s="306">
        <f t="shared" ca="1" si="277"/>
        <v>-1.4993249781975528</v>
      </c>
      <c r="N641" s="304">
        <f t="shared" ca="1" si="278"/>
        <v>-85.904993369263948</v>
      </c>
      <c r="P641" s="310">
        <f t="shared" ca="1" si="279"/>
        <v>23</v>
      </c>
      <c r="Q641" s="304">
        <f t="shared" ca="1" si="280"/>
        <v>0</v>
      </c>
      <c r="R641" s="306">
        <f t="shared" ca="1" si="281"/>
        <v>0</v>
      </c>
      <c r="S641" s="307">
        <f t="shared" ca="1" si="282"/>
        <v>0.4270000000000001</v>
      </c>
      <c r="T641" s="304">
        <f t="shared" ca="1" si="262"/>
        <v>4.1888700000000014</v>
      </c>
      <c r="U641" s="311">
        <f t="shared" ca="1" si="263"/>
        <v>0</v>
      </c>
      <c r="V641" s="306">
        <f t="shared" ca="1" si="264"/>
        <v>1.2255352503773687</v>
      </c>
      <c r="W641" s="304">
        <f t="shared" ca="1" si="265"/>
        <v>3.5496877130011795</v>
      </c>
      <c r="Y641" s="314" t="str">
        <f t="shared" ca="1" si="283"/>
        <v/>
      </c>
      <c r="Z641" s="315" t="str">
        <f t="shared" ca="1" si="284"/>
        <v/>
      </c>
      <c r="AA641" s="316" t="str">
        <f t="shared" ca="1" si="285"/>
        <v/>
      </c>
      <c r="AC641" s="310" t="e">
        <f t="shared" ca="1" si="286"/>
        <v>#N/A</v>
      </c>
      <c r="AD641" s="323" t="e">
        <f t="shared" ca="1" si="287"/>
        <v>#N/A</v>
      </c>
      <c r="AE641" s="324" t="e">
        <f t="shared" ca="1" si="266"/>
        <v>#N/A</v>
      </c>
      <c r="AG641" s="306">
        <f t="shared" ca="1" si="288"/>
        <v>1.4719193596047795</v>
      </c>
      <c r="AH641" s="304">
        <f t="shared" ca="1" si="289"/>
        <v>-8.3130348725663588</v>
      </c>
    </row>
    <row r="642" spans="1:34" x14ac:dyDescent="0.3">
      <c r="A642" s="347">
        <f t="shared" ca="1" si="267"/>
        <v>1E-4</v>
      </c>
      <c r="B642" s="304">
        <f t="shared" ca="1" si="268"/>
        <v>16.129699999999893</v>
      </c>
      <c r="D642" s="306">
        <f t="shared" ca="1" si="269"/>
        <v>-0.59364176233754362</v>
      </c>
      <c r="E642" s="307">
        <f t="shared" ca="1" si="270"/>
        <v>-1.5181372448034267</v>
      </c>
      <c r="F642" s="304">
        <f t="shared" ca="1" si="271"/>
        <v>1.6300770644514218</v>
      </c>
      <c r="G642" s="306">
        <f t="shared" ca="1" si="272"/>
        <v>3.7366932544674287</v>
      </c>
      <c r="H642" s="307">
        <f t="shared" ca="1" si="273"/>
        <v>-52.194323163645194</v>
      </c>
      <c r="I642" s="304">
        <f t="shared" ca="1" si="274"/>
        <v>52.32791078372049</v>
      </c>
      <c r="J642" s="306">
        <f t="shared" ca="1" si="275"/>
        <v>150.09587023194715</v>
      </c>
      <c r="K642" s="307">
        <f t="shared" ca="1" si="276"/>
        <v>-4.3736558900736675</v>
      </c>
      <c r="L642" s="304">
        <f t="shared" ca="1" si="261"/>
        <v>150.15957887038141</v>
      </c>
      <c r="M642" s="306">
        <f t="shared" ca="1" si="277"/>
        <v>-1.4993263169423166</v>
      </c>
      <c r="N642" s="304">
        <f t="shared" ca="1" si="278"/>
        <v>-85.905070073688748</v>
      </c>
      <c r="P642" s="310">
        <f t="shared" ca="1" si="279"/>
        <v>23</v>
      </c>
      <c r="Q642" s="304">
        <f t="shared" ca="1" si="280"/>
        <v>0</v>
      </c>
      <c r="R642" s="306">
        <f t="shared" ca="1" si="281"/>
        <v>0</v>
      </c>
      <c r="S642" s="307">
        <f t="shared" ca="1" si="282"/>
        <v>0.4270000000000001</v>
      </c>
      <c r="T642" s="304">
        <f t="shared" ca="1" si="262"/>
        <v>4.1888700000000014</v>
      </c>
      <c r="U642" s="311">
        <f t="shared" ca="1" si="263"/>
        <v>0</v>
      </c>
      <c r="V642" s="306">
        <f t="shared" ca="1" si="264"/>
        <v>1.225535890036465</v>
      </c>
      <c r="W642" s="304">
        <f t="shared" ca="1" si="265"/>
        <v>3.5497095348192516</v>
      </c>
      <c r="Y642" s="314" t="str">
        <f t="shared" ca="1" si="283"/>
        <v/>
      </c>
      <c r="Z642" s="315" t="str">
        <f t="shared" ca="1" si="284"/>
        <v/>
      </c>
      <c r="AA642" s="316" t="str">
        <f t="shared" ca="1" si="285"/>
        <v/>
      </c>
      <c r="AC642" s="310" t="e">
        <f t="shared" ca="1" si="286"/>
        <v>#N/A</v>
      </c>
      <c r="AD642" s="323" t="e">
        <f t="shared" ca="1" si="287"/>
        <v>#N/A</v>
      </c>
      <c r="AE642" s="324" t="e">
        <f t="shared" ca="1" si="266"/>
        <v>#N/A</v>
      </c>
      <c r="AG642" s="306">
        <f t="shared" ca="1" si="288"/>
        <v>1.4718691911150685</v>
      </c>
      <c r="AH642" s="304">
        <f t="shared" ca="1" si="289"/>
        <v>-8.3130859789254767</v>
      </c>
    </row>
    <row r="643" spans="1:34" x14ac:dyDescent="0.3">
      <c r="A643" s="347">
        <f t="shared" ca="1" si="267"/>
        <v>1E-4</v>
      </c>
      <c r="B643" s="304">
        <f t="shared" ca="1" si="268"/>
        <v>16.129799999999893</v>
      </c>
      <c r="D643" s="306">
        <f t="shared" ca="1" si="269"/>
        <v>-0.59363431101253272</v>
      </c>
      <c r="E643" s="307">
        <f t="shared" ca="1" si="270"/>
        <v>-1.5180854755812572</v>
      </c>
      <c r="F643" s="304">
        <f t="shared" ca="1" si="271"/>
        <v>1.6300261367174751</v>
      </c>
      <c r="G643" s="306">
        <f t="shared" ca="1" si="272"/>
        <v>3.7366338910363273</v>
      </c>
      <c r="H643" s="307">
        <f t="shared" ca="1" si="273"/>
        <v>-52.194474972192751</v>
      </c>
      <c r="I643" s="304">
        <f t="shared" ca="1" si="274"/>
        <v>52.328057965669778</v>
      </c>
      <c r="J643" s="306">
        <f t="shared" ca="1" si="275"/>
        <v>150.09587023194715</v>
      </c>
      <c r="K643" s="307">
        <f t="shared" ca="1" si="276"/>
        <v>-4.3788753299804597</v>
      </c>
      <c r="L643" s="304">
        <f t="shared" ca="1" si="261"/>
        <v>150.15973098617695</v>
      </c>
      <c r="M643" s="306">
        <f t="shared" ca="1" si="277"/>
        <v>-1.4993276556582811</v>
      </c>
      <c r="N643" s="304">
        <f t="shared" ca="1" si="278"/>
        <v>-85.905146776463482</v>
      </c>
      <c r="P643" s="310">
        <f t="shared" ca="1" si="279"/>
        <v>23</v>
      </c>
      <c r="Q643" s="304">
        <f t="shared" ca="1" si="280"/>
        <v>0</v>
      </c>
      <c r="R643" s="306">
        <f t="shared" ca="1" si="281"/>
        <v>0</v>
      </c>
      <c r="S643" s="307">
        <f t="shared" ca="1" si="282"/>
        <v>0.4270000000000001</v>
      </c>
      <c r="T643" s="304">
        <f t="shared" ca="1" si="262"/>
        <v>4.1888700000000014</v>
      </c>
      <c r="U643" s="311">
        <f t="shared" ca="1" si="263"/>
        <v>0</v>
      </c>
      <c r="V643" s="306">
        <f t="shared" ca="1" si="264"/>
        <v>1.2255365296977556</v>
      </c>
      <c r="W643" s="304">
        <f t="shared" ca="1" si="265"/>
        <v>3.5497313560400667</v>
      </c>
      <c r="Y643" s="314" t="str">
        <f t="shared" ca="1" si="283"/>
        <v/>
      </c>
      <c r="Z643" s="315" t="str">
        <f t="shared" ca="1" si="284"/>
        <v/>
      </c>
      <c r="AA643" s="316" t="str">
        <f t="shared" ca="1" si="285"/>
        <v/>
      </c>
      <c r="AC643" s="310" t="e">
        <f t="shared" ca="1" si="286"/>
        <v>#N/A</v>
      </c>
      <c r="AD643" s="323" t="e">
        <f t="shared" ca="1" si="287"/>
        <v>#N/A</v>
      </c>
      <c r="AE643" s="324" t="e">
        <f t="shared" ca="1" si="266"/>
        <v>#N/A</v>
      </c>
      <c r="AG643" s="306">
        <f t="shared" ca="1" si="288"/>
        <v>1.4718190239864057</v>
      </c>
      <c r="AH643" s="304">
        <f t="shared" ca="1" si="289"/>
        <v>-8.3131370838858327</v>
      </c>
    </row>
    <row r="644" spans="1:34" x14ac:dyDescent="0.3">
      <c r="A644" s="347">
        <f t="shared" ca="1" si="267"/>
        <v>1E-4</v>
      </c>
      <c r="B644" s="304">
        <f t="shared" ca="1" si="268"/>
        <v>16.129899999999893</v>
      </c>
      <c r="D644" s="306">
        <f t="shared" ca="1" si="269"/>
        <v>-0.59362685968889595</v>
      </c>
      <c r="E644" s="307">
        <f t="shared" ca="1" si="270"/>
        <v>-1.5180337077764303</v>
      </c>
      <c r="F644" s="304">
        <f t="shared" ca="1" si="271"/>
        <v>1.629975210391114</v>
      </c>
      <c r="G644" s="306">
        <f t="shared" ca="1" si="272"/>
        <v>3.7365745283503582</v>
      </c>
      <c r="H644" s="307">
        <f t="shared" ca="1" si="273"/>
        <v>-52.194626775563528</v>
      </c>
      <c r="I644" s="304">
        <f t="shared" ca="1" si="274"/>
        <v>52.328205142602492</v>
      </c>
      <c r="J644" s="306">
        <f t="shared" ca="1" si="275"/>
        <v>150.09587023194715</v>
      </c>
      <c r="K644" s="307">
        <f t="shared" ca="1" si="276"/>
        <v>-4.3840947850678473</v>
      </c>
      <c r="L644" s="304">
        <f t="shared" ref="L644:L707" ca="1" si="290">SQRT(pos_x^2+pos_z^2)</f>
        <v>150.15988328368525</v>
      </c>
      <c r="M644" s="306">
        <f t="shared" ca="1" si="277"/>
        <v>-1.4993289943454475</v>
      </c>
      <c r="N644" s="304">
        <f t="shared" ca="1" si="278"/>
        <v>-85.905223477588208</v>
      </c>
      <c r="P644" s="310">
        <f t="shared" ca="1" si="279"/>
        <v>23</v>
      </c>
      <c r="Q644" s="304">
        <f t="shared" ca="1" si="280"/>
        <v>0</v>
      </c>
      <c r="R644" s="306">
        <f t="shared" ca="1" si="281"/>
        <v>0</v>
      </c>
      <c r="S644" s="307">
        <f t="shared" ca="1" si="282"/>
        <v>0.4270000000000001</v>
      </c>
      <c r="T644" s="304">
        <f t="shared" ref="T644:T707" ca="1" si="291">m*g</f>
        <v>4.1888700000000014</v>
      </c>
      <c r="U644" s="311">
        <f t="shared" ref="U644:U707" ca="1" si="292">IF(pos_xz&lt;L_rampe,Poids*COS(Beta),0)</f>
        <v>0</v>
      </c>
      <c r="V644" s="306">
        <f t="shared" ref="V644:V707" ca="1" si="293">Rho_moyen*(20000-Alt_rampe-pos_z)/(20000+Alt_rampe+pos_z)</f>
        <v>1.2255371693612407</v>
      </c>
      <c r="W644" s="304">
        <f t="shared" ref="W644:W707" ca="1" si="294">1/2*Rho*Sref*Cx*vit_xz^2</f>
        <v>3.5497531766636352</v>
      </c>
      <c r="Y644" s="314" t="str">
        <f t="shared" ca="1" si="283"/>
        <v/>
      </c>
      <c r="Z644" s="315" t="str">
        <f t="shared" ca="1" si="284"/>
        <v/>
      </c>
      <c r="AA644" s="316" t="str">
        <f t="shared" ca="1" si="285"/>
        <v/>
      </c>
      <c r="AC644" s="310" t="e">
        <f t="shared" ca="1" si="286"/>
        <v>#N/A</v>
      </c>
      <c r="AD644" s="323" t="e">
        <f t="shared" ca="1" si="287"/>
        <v>#N/A</v>
      </c>
      <c r="AE644" s="324" t="e">
        <f t="shared" ref="AE644:AE707" ca="1" si="295">IF(t&lt;T_para, pos_z, NA())</f>
        <v>#N/A</v>
      </c>
      <c r="AG644" s="306">
        <f t="shared" ca="1" si="288"/>
        <v>1.4717688582187609</v>
      </c>
      <c r="AH644" s="304">
        <f t="shared" ca="1" si="289"/>
        <v>-8.3131881874474605</v>
      </c>
    </row>
    <row r="645" spans="1:34" x14ac:dyDescent="0.3">
      <c r="A645" s="347">
        <f t="shared" ref="A645:A708" ca="1" si="296">IF(B644+0.01&lt;=T_ini+ROUNDUP(Temps_fin_propu,0), 0.01, IF(K644&gt;0, 0.1, 0.0001))</f>
        <v>1E-4</v>
      </c>
      <c r="B645" s="304">
        <f t="shared" ref="B645:B708" ca="1" si="297">B644+pas</f>
        <v>16.129999999999892</v>
      </c>
      <c r="D645" s="306">
        <f t="shared" ref="D645:D708" ca="1" si="298">IF(AND(L644&lt;L_rampe,Poussee&lt;Poids*SIN(M644)),0,(-W644+Poussee)/m*COS(M644)-U644/m*SIN(M644))</f>
        <v>-0.59361940836663585</v>
      </c>
      <c r="E645" s="307">
        <f t="shared" ref="E645:E708" ca="1" si="299">IF(AND(L644&lt;L_rampe,Poussee&lt;Poids*SIN(M644)),0,(-W644+Poussee)/m*SIN(M644)+U644/m*COS(M644)-Poids/m)</f>
        <v>-1.5179819413889231</v>
      </c>
      <c r="F645" s="304">
        <f t="shared" ref="F645:F708" ca="1" si="300">SQRT(acc_x^2+acc_z^2)</f>
        <v>1.6299242854723157</v>
      </c>
      <c r="G645" s="306">
        <f t="shared" ref="G645:G708" ca="1" si="301">G644+acc_x*pas</f>
        <v>3.7365151664095215</v>
      </c>
      <c r="H645" s="307">
        <f t="shared" ref="H645:H708" ca="1" si="302">H644+acc_z*pas</f>
        <v>-52.194778573757667</v>
      </c>
      <c r="I645" s="304">
        <f t="shared" ref="I645:I708" ca="1" si="303">SQRT(vit_x^2+vit_z^2)</f>
        <v>52.32835231451876</v>
      </c>
      <c r="J645" s="306">
        <f t="shared" ref="J645:J708" ca="1" si="304">J644+0.5*(vit_x+G644)*pas*(K644&gt;=0)</f>
        <v>150.09587023194715</v>
      </c>
      <c r="K645" s="307">
        <f t="shared" ref="K645:K708" ca="1" si="305">K644+0.5*(vit_z+H644)*pas</f>
        <v>-4.3893142553353135</v>
      </c>
      <c r="L645" s="304">
        <f t="shared" ca="1" si="290"/>
        <v>150.16003576290731</v>
      </c>
      <c r="M645" s="306">
        <f t="shared" ref="M645:M708" ca="1" si="306">IF(AND(L644&gt;L_rampe,G645&gt;0),ATAN2(G645,H645),$M$4)</f>
        <v>-1.4993303330038168</v>
      </c>
      <c r="N645" s="304">
        <f t="shared" ref="N645:N708" ca="1" si="307">DEGREES(Beta)</f>
        <v>-85.905300177062983</v>
      </c>
      <c r="P645" s="310">
        <f t="shared" ref="P645:P708" ca="1" si="308">MATCH(t-pas/2-T_ini,CdP_t)</f>
        <v>23</v>
      </c>
      <c r="Q645" s="304">
        <f t="shared" ref="Q645:Q708" ca="1" si="309">(INDEX(CdP,2,i_P+1)-INDEX(CdP,2,i_P+0))/(INDEX(CdP,1,i_P+1)-INDEX(CdP,1,i_P+0))*(t-pas/2-T_ini-INDEX(CdP,1,i_P+0))+INDEX(CdP,2,i_P+0)</f>
        <v>0</v>
      </c>
      <c r="R645" s="306">
        <f t="shared" ref="R645:R708" ca="1" si="310">Poussee/(g*ISP)</f>
        <v>0</v>
      </c>
      <c r="S645" s="307">
        <f t="shared" ref="S645:S708" ca="1" si="311">S644-Débit*pas</f>
        <v>0.4270000000000001</v>
      </c>
      <c r="T645" s="304">
        <f t="shared" ca="1" si="291"/>
        <v>4.1888700000000014</v>
      </c>
      <c r="U645" s="311">
        <f t="shared" ca="1" si="292"/>
        <v>0</v>
      </c>
      <c r="V645" s="306">
        <f t="shared" ca="1" si="293"/>
        <v>1.22553780902692</v>
      </c>
      <c r="W645" s="304">
        <f t="shared" ca="1" si="294"/>
        <v>3.5497749966899681</v>
      </c>
      <c r="Y645" s="314" t="str">
        <f t="shared" ref="Y645:Y708" ca="1" si="312">IF(AND(pos_z&lt;=0,K644&gt;0),"Impact balistique","") &amp; IF(AND(H646&lt;0,vit_z&gt;=0),"Apogée","") &amp; IF(AND(Poussee=0,Q644&gt;0),"Fin de propulsion","") &amp; IF(AND(L646&gt;L_rampe,pos_xz&lt;=L_rampe),"Sortie de rampe","")</f>
        <v/>
      </c>
      <c r="Z645" s="315" t="str">
        <f t="shared" ref="Z645:Z708" ca="1" si="313">IF(ABS(t-T_para)&lt;pas/2,"Para","")</f>
        <v/>
      </c>
      <c r="AA645" s="316" t="str">
        <f t="shared" ref="AA645:AA708" ca="1" si="314">IF(ABS(t-T_satellite)&lt;pas/2,"Satellite","")</f>
        <v/>
      </c>
      <c r="AC645" s="310" t="e">
        <f t="shared" ref="AC645:AC708" ca="1" si="315">IF(ABS(t-ROUND(t,0))&lt;0.001,t,NA())</f>
        <v>#N/A</v>
      </c>
      <c r="AD645" s="323" t="e">
        <f t="shared" ref="AD645:AD708" ca="1" si="316">IF(ABS(t-ROUND(t,0))&lt;0.001,pos_x,NA())</f>
        <v>#N/A</v>
      </c>
      <c r="AE645" s="324" t="e">
        <f t="shared" ca="1" si="295"/>
        <v>#N/A</v>
      </c>
      <c r="AG645" s="306">
        <f t="shared" ref="AG645:AG708" ca="1" si="317">IF(AND(L644&lt;L_rampe,Poussee&lt;Poids*SIN(M644)),0,(-W644+Poussee)/m-Poids*SIN(M644)/m)</f>
        <v>1.4717186938121092</v>
      </c>
      <c r="AH645" s="304">
        <f t="shared" ref="AH645:AH708" ca="1" si="318">IF(AND(L644&lt;L_rampe,Poussee&lt;Poids*SIN(M644)), g*SIN(M644), (-W644+Poussee)/m)</f>
        <v>-8.3132392896103848</v>
      </c>
    </row>
    <row r="646" spans="1:34" x14ac:dyDescent="0.3">
      <c r="A646" s="347">
        <f t="shared" ca="1" si="296"/>
        <v>1E-4</v>
      </c>
      <c r="B646" s="304">
        <f t="shared" ca="1" si="297"/>
        <v>16.130099999999892</v>
      </c>
      <c r="D646" s="306">
        <f t="shared" ca="1" si="298"/>
        <v>-0.59361195704575687</v>
      </c>
      <c r="E646" s="307">
        <f t="shared" ca="1" si="299"/>
        <v>-1.5179301764187088</v>
      </c>
      <c r="F646" s="304">
        <f t="shared" ca="1" si="300"/>
        <v>1.6298733619610533</v>
      </c>
      <c r="G646" s="306">
        <f t="shared" ca="1" si="301"/>
        <v>3.7364558052138168</v>
      </c>
      <c r="H646" s="307">
        <f t="shared" ca="1" si="302"/>
        <v>-52.19493036677531</v>
      </c>
      <c r="I646" s="304">
        <f t="shared" ca="1" si="303"/>
        <v>52.328499481418724</v>
      </c>
      <c r="J646" s="306">
        <f t="shared" ca="1" si="304"/>
        <v>150.09587023194715</v>
      </c>
      <c r="K646" s="307">
        <f t="shared" ca="1" si="305"/>
        <v>-4.3945337407823404</v>
      </c>
      <c r="L646" s="304">
        <f t="shared" ca="1" si="290"/>
        <v>150.16018842384418</v>
      </c>
      <c r="M646" s="306">
        <f t="shared" ca="1" si="306"/>
        <v>-1.4993316716333895</v>
      </c>
      <c r="N646" s="304">
        <f t="shared" ca="1" si="307"/>
        <v>-85.905376874887835</v>
      </c>
      <c r="P646" s="310">
        <f t="shared" ca="1" si="308"/>
        <v>23</v>
      </c>
      <c r="Q646" s="304">
        <f t="shared" ca="1" si="309"/>
        <v>0</v>
      </c>
      <c r="R646" s="306">
        <f t="shared" ca="1" si="310"/>
        <v>0</v>
      </c>
      <c r="S646" s="307">
        <f t="shared" ca="1" si="311"/>
        <v>0.4270000000000001</v>
      </c>
      <c r="T646" s="304">
        <f t="shared" ca="1" si="291"/>
        <v>4.1888700000000014</v>
      </c>
      <c r="U646" s="311">
        <f t="shared" ca="1" si="292"/>
        <v>0</v>
      </c>
      <c r="V646" s="306">
        <f t="shared" ca="1" si="293"/>
        <v>1.2255384486947938</v>
      </c>
      <c r="W646" s="304">
        <f t="shared" ca="1" si="294"/>
        <v>3.5497968161190796</v>
      </c>
      <c r="Y646" s="314" t="str">
        <f t="shared" ca="1" si="312"/>
        <v/>
      </c>
      <c r="Z646" s="315" t="str">
        <f t="shared" ca="1" si="313"/>
        <v/>
      </c>
      <c r="AA646" s="316" t="str">
        <f t="shared" ca="1" si="314"/>
        <v/>
      </c>
      <c r="AC646" s="310" t="e">
        <f t="shared" ca="1" si="315"/>
        <v>#N/A</v>
      </c>
      <c r="AD646" s="323" t="e">
        <f t="shared" ca="1" si="316"/>
        <v>#N/A</v>
      </c>
      <c r="AE646" s="324" t="e">
        <f t="shared" ca="1" si="295"/>
        <v>#N/A</v>
      </c>
      <c r="AG646" s="306">
        <f t="shared" ca="1" si="317"/>
        <v>1.4716685307664292</v>
      </c>
      <c r="AH646" s="304">
        <f t="shared" ca="1" si="318"/>
        <v>-8.3132903903746307</v>
      </c>
    </row>
    <row r="647" spans="1:34" x14ac:dyDescent="0.3">
      <c r="A647" s="347">
        <f t="shared" ca="1" si="296"/>
        <v>1E-4</v>
      </c>
      <c r="B647" s="304">
        <f t="shared" ca="1" si="297"/>
        <v>16.130199999999892</v>
      </c>
      <c r="D647" s="306">
        <f t="shared" ca="1" si="298"/>
        <v>-0.59360450572626622</v>
      </c>
      <c r="E647" s="307">
        <f t="shared" ca="1" si="299"/>
        <v>-1.5178784128657519</v>
      </c>
      <c r="F647" s="304">
        <f t="shared" ca="1" si="300"/>
        <v>1.6298224398572929</v>
      </c>
      <c r="G647" s="306">
        <f t="shared" ca="1" si="301"/>
        <v>3.7363964447632441</v>
      </c>
      <c r="H647" s="307">
        <f t="shared" ca="1" si="302"/>
        <v>-52.1950821546166</v>
      </c>
      <c r="I647" s="304">
        <f t="shared" ca="1" si="303"/>
        <v>52.328646643302513</v>
      </c>
      <c r="J647" s="306">
        <f t="shared" ca="1" si="304"/>
        <v>150.09587023194715</v>
      </c>
      <c r="K647" s="307">
        <f t="shared" ca="1" si="305"/>
        <v>-4.3997532414084102</v>
      </c>
      <c r="L647" s="304">
        <f t="shared" ca="1" si="290"/>
        <v>150.16034126649686</v>
      </c>
      <c r="M647" s="306">
        <f t="shared" ca="1" si="306"/>
        <v>-1.4993330102341664</v>
      </c>
      <c r="N647" s="304">
        <f t="shared" ca="1" si="307"/>
        <v>-85.905453571062807</v>
      </c>
      <c r="P647" s="310">
        <f t="shared" ca="1" si="308"/>
        <v>23</v>
      </c>
      <c r="Q647" s="304">
        <f t="shared" ca="1" si="309"/>
        <v>0</v>
      </c>
      <c r="R647" s="306">
        <f t="shared" ca="1" si="310"/>
        <v>0</v>
      </c>
      <c r="S647" s="307">
        <f t="shared" ca="1" si="311"/>
        <v>0.4270000000000001</v>
      </c>
      <c r="T647" s="304">
        <f t="shared" ca="1" si="291"/>
        <v>4.1888700000000014</v>
      </c>
      <c r="U647" s="311">
        <f t="shared" ca="1" si="292"/>
        <v>0</v>
      </c>
      <c r="V647" s="306">
        <f t="shared" ca="1" si="293"/>
        <v>1.2255390883648616</v>
      </c>
      <c r="W647" s="304">
        <f t="shared" ca="1" si="294"/>
        <v>3.5498186349509773</v>
      </c>
      <c r="Y647" s="314" t="str">
        <f t="shared" ca="1" si="312"/>
        <v/>
      </c>
      <c r="Z647" s="315" t="str">
        <f t="shared" ca="1" si="313"/>
        <v/>
      </c>
      <c r="AA647" s="316" t="str">
        <f t="shared" ca="1" si="314"/>
        <v/>
      </c>
      <c r="AC647" s="310" t="e">
        <f t="shared" ca="1" si="315"/>
        <v>#N/A</v>
      </c>
      <c r="AD647" s="323" t="e">
        <f t="shared" ca="1" si="316"/>
        <v>#N/A</v>
      </c>
      <c r="AE647" s="324" t="e">
        <f t="shared" ca="1" si="295"/>
        <v>#N/A</v>
      </c>
      <c r="AG647" s="306">
        <f t="shared" ca="1" si="317"/>
        <v>1.4716183690816873</v>
      </c>
      <c r="AH647" s="304">
        <f t="shared" ca="1" si="318"/>
        <v>-8.3133414897402318</v>
      </c>
    </row>
    <row r="648" spans="1:34" x14ac:dyDescent="0.3">
      <c r="A648" s="347">
        <f t="shared" ca="1" si="296"/>
        <v>1E-4</v>
      </c>
      <c r="B648" s="304">
        <f t="shared" ca="1" si="297"/>
        <v>16.130299999999892</v>
      </c>
      <c r="D648" s="306">
        <f t="shared" ca="1" si="298"/>
        <v>-0.59359705440816934</v>
      </c>
      <c r="E648" s="307">
        <f t="shared" ca="1" si="299"/>
        <v>-1.5178266507300382</v>
      </c>
      <c r="F648" s="304">
        <f t="shared" ca="1" si="300"/>
        <v>1.6297715191610207</v>
      </c>
      <c r="G648" s="306">
        <f t="shared" ca="1" si="301"/>
        <v>3.7363370850578033</v>
      </c>
      <c r="H648" s="307">
        <f t="shared" ca="1" si="302"/>
        <v>-52.195233937281671</v>
      </c>
      <c r="I648" s="304">
        <f t="shared" ca="1" si="303"/>
        <v>52.328793800170267</v>
      </c>
      <c r="J648" s="306">
        <f t="shared" ca="1" si="304"/>
        <v>150.09587023194715</v>
      </c>
      <c r="K648" s="307">
        <f t="shared" ca="1" si="305"/>
        <v>-4.4049727572130051</v>
      </c>
      <c r="L648" s="304">
        <f t="shared" ca="1" si="290"/>
        <v>150.16049429086635</v>
      </c>
      <c r="M648" s="306">
        <f t="shared" ca="1" si="306"/>
        <v>-1.4993343488061486</v>
      </c>
      <c r="N648" s="304">
        <f t="shared" ca="1" si="307"/>
        <v>-85.905530265587956</v>
      </c>
      <c r="P648" s="310">
        <f t="shared" ca="1" si="308"/>
        <v>23</v>
      </c>
      <c r="Q648" s="304">
        <f t="shared" ca="1" si="309"/>
        <v>0</v>
      </c>
      <c r="R648" s="306">
        <f t="shared" ca="1" si="310"/>
        <v>0</v>
      </c>
      <c r="S648" s="307">
        <f t="shared" ca="1" si="311"/>
        <v>0.4270000000000001</v>
      </c>
      <c r="T648" s="304">
        <f t="shared" ca="1" si="291"/>
        <v>4.1888700000000014</v>
      </c>
      <c r="U648" s="311">
        <f t="shared" ca="1" si="292"/>
        <v>0</v>
      </c>
      <c r="V648" s="306">
        <f t="shared" ca="1" si="293"/>
        <v>1.2255397280371236</v>
      </c>
      <c r="W648" s="304">
        <f t="shared" ca="1" si="294"/>
        <v>3.5498404531856753</v>
      </c>
      <c r="Y648" s="314" t="str">
        <f t="shared" ca="1" si="312"/>
        <v/>
      </c>
      <c r="Z648" s="315" t="str">
        <f t="shared" ca="1" si="313"/>
        <v/>
      </c>
      <c r="AA648" s="316" t="str">
        <f t="shared" ca="1" si="314"/>
        <v/>
      </c>
      <c r="AC648" s="310" t="e">
        <f t="shared" ca="1" si="315"/>
        <v>#N/A</v>
      </c>
      <c r="AD648" s="323" t="e">
        <f t="shared" ca="1" si="316"/>
        <v>#N/A</v>
      </c>
      <c r="AE648" s="324" t="e">
        <f t="shared" ca="1" si="295"/>
        <v>#N/A</v>
      </c>
      <c r="AG648" s="306">
        <f t="shared" ca="1" si="317"/>
        <v>1.471568208757871</v>
      </c>
      <c r="AH648" s="304">
        <f t="shared" ca="1" si="318"/>
        <v>-8.3133925877072041</v>
      </c>
    </row>
    <row r="649" spans="1:34" x14ac:dyDescent="0.3">
      <c r="A649" s="347">
        <f t="shared" ca="1" si="296"/>
        <v>1E-4</v>
      </c>
      <c r="B649" s="304">
        <f t="shared" ca="1" si="297"/>
        <v>16.130399999999891</v>
      </c>
      <c r="D649" s="306">
        <f t="shared" ca="1" si="298"/>
        <v>-0.59358960309146991</v>
      </c>
      <c r="E649" s="307">
        <f t="shared" ca="1" si="299"/>
        <v>-1.5177748900115287</v>
      </c>
      <c r="F649" s="304">
        <f t="shared" ca="1" si="300"/>
        <v>1.629720599872198</v>
      </c>
      <c r="G649" s="306">
        <f t="shared" ca="1" si="301"/>
        <v>3.736277726097494</v>
      </c>
      <c r="H649" s="307">
        <f t="shared" ca="1" si="302"/>
        <v>-52.195385714770673</v>
      </c>
      <c r="I649" s="304">
        <f t="shared" ca="1" si="303"/>
        <v>52.32894095202213</v>
      </c>
      <c r="J649" s="306">
        <f t="shared" ca="1" si="304"/>
        <v>150.09587023194715</v>
      </c>
      <c r="K649" s="307">
        <f t="shared" ca="1" si="305"/>
        <v>-4.4101922881956073</v>
      </c>
      <c r="L649" s="304">
        <f t="shared" ca="1" si="290"/>
        <v>150.16064749695366</v>
      </c>
      <c r="M649" s="306">
        <f t="shared" ca="1" si="306"/>
        <v>-1.4993356873493366</v>
      </c>
      <c r="N649" s="304">
        <f t="shared" ca="1" si="307"/>
        <v>-85.905606958463324</v>
      </c>
      <c r="P649" s="310">
        <f t="shared" ca="1" si="308"/>
        <v>23</v>
      </c>
      <c r="Q649" s="304">
        <f t="shared" ca="1" si="309"/>
        <v>0</v>
      </c>
      <c r="R649" s="306">
        <f t="shared" ca="1" si="310"/>
        <v>0</v>
      </c>
      <c r="S649" s="307">
        <f t="shared" ca="1" si="311"/>
        <v>0.4270000000000001</v>
      </c>
      <c r="T649" s="304">
        <f t="shared" ca="1" si="291"/>
        <v>4.1888700000000014</v>
      </c>
      <c r="U649" s="311">
        <f t="shared" ca="1" si="292"/>
        <v>0</v>
      </c>
      <c r="V649" s="306">
        <f t="shared" ca="1" si="293"/>
        <v>1.2255403677115797</v>
      </c>
      <c r="W649" s="304">
        <f t="shared" ca="1" si="294"/>
        <v>3.5498622708231862</v>
      </c>
      <c r="Y649" s="314" t="str">
        <f t="shared" ca="1" si="312"/>
        <v/>
      </c>
      <c r="Z649" s="315" t="str">
        <f t="shared" ca="1" si="313"/>
        <v/>
      </c>
      <c r="AA649" s="316" t="str">
        <f t="shared" ca="1" si="314"/>
        <v/>
      </c>
      <c r="AC649" s="310" t="e">
        <f t="shared" ca="1" si="315"/>
        <v>#N/A</v>
      </c>
      <c r="AD649" s="323" t="e">
        <f t="shared" ca="1" si="316"/>
        <v>#N/A</v>
      </c>
      <c r="AE649" s="324" t="e">
        <f t="shared" ca="1" si="295"/>
        <v>#N/A</v>
      </c>
      <c r="AG649" s="306">
        <f t="shared" ca="1" si="317"/>
        <v>1.4715180497949447</v>
      </c>
      <c r="AH649" s="304">
        <f t="shared" ca="1" si="318"/>
        <v>-8.313443684275585</v>
      </c>
    </row>
    <row r="650" spans="1:34" x14ac:dyDescent="0.3">
      <c r="A650" s="347">
        <f t="shared" ca="1" si="296"/>
        <v>1E-4</v>
      </c>
      <c r="B650" s="304">
        <f t="shared" ca="1" si="297"/>
        <v>16.130499999999891</v>
      </c>
      <c r="D650" s="306">
        <f t="shared" ca="1" si="298"/>
        <v>-0.59358215177617435</v>
      </c>
      <c r="E650" s="307">
        <f t="shared" ca="1" si="299"/>
        <v>-1.5177231307101984</v>
      </c>
      <c r="F650" s="304">
        <f t="shared" ca="1" si="300"/>
        <v>1.6296696819908012</v>
      </c>
      <c r="G650" s="306">
        <f t="shared" ca="1" si="301"/>
        <v>3.7362183678823162</v>
      </c>
      <c r="H650" s="307">
        <f t="shared" ca="1" si="302"/>
        <v>-52.19553748708374</v>
      </c>
      <c r="I650" s="304">
        <f t="shared" ca="1" si="303"/>
        <v>52.329088098858222</v>
      </c>
      <c r="J650" s="306">
        <f t="shared" ca="1" si="304"/>
        <v>150.09587023194715</v>
      </c>
      <c r="K650" s="307">
        <f t="shared" ca="1" si="305"/>
        <v>-4.4154118343556998</v>
      </c>
      <c r="L650" s="304">
        <f t="shared" ca="1" si="290"/>
        <v>150.16080088475982</v>
      </c>
      <c r="M650" s="306">
        <f t="shared" ca="1" si="306"/>
        <v>-1.4993370258637315</v>
      </c>
      <c r="N650" s="304">
        <f t="shared" ca="1" si="307"/>
        <v>-85.905683649688967</v>
      </c>
      <c r="P650" s="310">
        <f t="shared" ca="1" si="308"/>
        <v>23</v>
      </c>
      <c r="Q650" s="304">
        <f t="shared" ca="1" si="309"/>
        <v>0</v>
      </c>
      <c r="R650" s="306">
        <f t="shared" ca="1" si="310"/>
        <v>0</v>
      </c>
      <c r="S650" s="307">
        <f t="shared" ca="1" si="311"/>
        <v>0.4270000000000001</v>
      </c>
      <c r="T650" s="304">
        <f t="shared" ca="1" si="291"/>
        <v>4.1888700000000014</v>
      </c>
      <c r="U650" s="311">
        <f t="shared" ca="1" si="292"/>
        <v>0</v>
      </c>
      <c r="V650" s="306">
        <f t="shared" ca="1" si="293"/>
        <v>1.2255410073882296</v>
      </c>
      <c r="W650" s="304">
        <f t="shared" ca="1" si="294"/>
        <v>3.5498840878635178</v>
      </c>
      <c r="Y650" s="314" t="str">
        <f t="shared" ca="1" si="312"/>
        <v/>
      </c>
      <c r="Z650" s="315" t="str">
        <f t="shared" ca="1" si="313"/>
        <v/>
      </c>
      <c r="AA650" s="316" t="str">
        <f t="shared" ca="1" si="314"/>
        <v/>
      </c>
      <c r="AC650" s="310" t="e">
        <f t="shared" ca="1" si="315"/>
        <v>#N/A</v>
      </c>
      <c r="AD650" s="323" t="e">
        <f t="shared" ca="1" si="316"/>
        <v>#N/A</v>
      </c>
      <c r="AE650" s="324" t="e">
        <f t="shared" ca="1" si="295"/>
        <v>#N/A</v>
      </c>
      <c r="AG650" s="306">
        <f t="shared" ca="1" si="317"/>
        <v>1.4714678921928837</v>
      </c>
      <c r="AH650" s="304">
        <f t="shared" ca="1" si="318"/>
        <v>-8.3134947794453993</v>
      </c>
    </row>
    <row r="651" spans="1:34" x14ac:dyDescent="0.3">
      <c r="A651" s="347">
        <f t="shared" ca="1" si="296"/>
        <v>1E-4</v>
      </c>
      <c r="B651" s="304">
        <f t="shared" ca="1" si="297"/>
        <v>16.130599999999891</v>
      </c>
      <c r="D651" s="306">
        <f t="shared" ca="1" si="298"/>
        <v>-0.59357470046228666</v>
      </c>
      <c r="E651" s="307">
        <f t="shared" ca="1" si="299"/>
        <v>-1.517671372826026</v>
      </c>
      <c r="F651" s="304">
        <f t="shared" ca="1" si="300"/>
        <v>1.6296187655168088</v>
      </c>
      <c r="G651" s="306">
        <f t="shared" ca="1" si="301"/>
        <v>3.7361590104122699</v>
      </c>
      <c r="H651" s="307">
        <f t="shared" ca="1" si="302"/>
        <v>-52.195689254221023</v>
      </c>
      <c r="I651" s="304">
        <f t="shared" ca="1" si="303"/>
        <v>52.329235240678692</v>
      </c>
      <c r="J651" s="306">
        <f t="shared" ca="1" si="304"/>
        <v>150.09587023194715</v>
      </c>
      <c r="K651" s="307">
        <f t="shared" ca="1" si="305"/>
        <v>-4.420631395692765</v>
      </c>
      <c r="L651" s="304">
        <f t="shared" ca="1" si="290"/>
        <v>150.16095445428581</v>
      </c>
      <c r="M651" s="306">
        <f t="shared" ca="1" si="306"/>
        <v>-1.4993383643493341</v>
      </c>
      <c r="N651" s="304">
        <f t="shared" ca="1" si="307"/>
        <v>-85.90576033926493</v>
      </c>
      <c r="P651" s="310">
        <f t="shared" ca="1" si="308"/>
        <v>23</v>
      </c>
      <c r="Q651" s="304">
        <f t="shared" ca="1" si="309"/>
        <v>0</v>
      </c>
      <c r="R651" s="306">
        <f t="shared" ca="1" si="310"/>
        <v>0</v>
      </c>
      <c r="S651" s="307">
        <f t="shared" ca="1" si="311"/>
        <v>0.4270000000000001</v>
      </c>
      <c r="T651" s="304">
        <f t="shared" ca="1" si="291"/>
        <v>4.1888700000000014</v>
      </c>
      <c r="U651" s="311">
        <f t="shared" ca="1" si="292"/>
        <v>0</v>
      </c>
      <c r="V651" s="306">
        <f t="shared" ca="1" si="293"/>
        <v>1.2255416470670739</v>
      </c>
      <c r="W651" s="304">
        <f t="shared" ca="1" si="294"/>
        <v>3.5499059043066876</v>
      </c>
      <c r="Y651" s="314" t="str">
        <f t="shared" ca="1" si="312"/>
        <v/>
      </c>
      <c r="Z651" s="315" t="str">
        <f t="shared" ca="1" si="313"/>
        <v/>
      </c>
      <c r="AA651" s="316" t="str">
        <f t="shared" ca="1" si="314"/>
        <v/>
      </c>
      <c r="AC651" s="310" t="e">
        <f t="shared" ca="1" si="315"/>
        <v>#N/A</v>
      </c>
      <c r="AD651" s="323" t="e">
        <f t="shared" ca="1" si="316"/>
        <v>#N/A</v>
      </c>
      <c r="AE651" s="324" t="e">
        <f t="shared" ca="1" si="295"/>
        <v>#N/A</v>
      </c>
      <c r="AG651" s="306">
        <f t="shared" ca="1" si="317"/>
        <v>1.4714177359516682</v>
      </c>
      <c r="AH651" s="304">
        <f t="shared" ca="1" si="318"/>
        <v>-8.3135458732166683</v>
      </c>
    </row>
    <row r="652" spans="1:34" x14ac:dyDescent="0.3">
      <c r="A652" s="347">
        <f t="shared" ca="1" si="296"/>
        <v>1E-4</v>
      </c>
      <c r="B652" s="304">
        <f t="shared" ca="1" si="297"/>
        <v>16.130699999999891</v>
      </c>
      <c r="D652" s="306">
        <f t="shared" ca="1" si="298"/>
        <v>-0.5935672491498124</v>
      </c>
      <c r="E652" s="307">
        <f t="shared" ca="1" si="299"/>
        <v>-1.5176196163589726</v>
      </c>
      <c r="F652" s="304">
        <f t="shared" ca="1" si="300"/>
        <v>1.6295678504501832</v>
      </c>
      <c r="G652" s="306">
        <f t="shared" ca="1" si="301"/>
        <v>3.7360996536873547</v>
      </c>
      <c r="H652" s="307">
        <f t="shared" ca="1" si="302"/>
        <v>-52.195841016182662</v>
      </c>
      <c r="I652" s="304">
        <f t="shared" ca="1" si="303"/>
        <v>52.329382377483675</v>
      </c>
      <c r="J652" s="306">
        <f t="shared" ca="1" si="304"/>
        <v>150.09587023194715</v>
      </c>
      <c r="K652" s="307">
        <f t="shared" ca="1" si="305"/>
        <v>-4.4258509722062849</v>
      </c>
      <c r="L652" s="304">
        <f t="shared" ca="1" si="290"/>
        <v>150.16110820553268</v>
      </c>
      <c r="M652" s="306">
        <f t="shared" ca="1" si="306"/>
        <v>-1.499339702806145</v>
      </c>
      <c r="N652" s="304">
        <f t="shared" ca="1" si="307"/>
        <v>-85.905837027191268</v>
      </c>
      <c r="P652" s="310">
        <f t="shared" ca="1" si="308"/>
        <v>23</v>
      </c>
      <c r="Q652" s="304">
        <f t="shared" ca="1" si="309"/>
        <v>0</v>
      </c>
      <c r="R652" s="306">
        <f t="shared" ca="1" si="310"/>
        <v>0</v>
      </c>
      <c r="S652" s="307">
        <f t="shared" ca="1" si="311"/>
        <v>0.4270000000000001</v>
      </c>
      <c r="T652" s="304">
        <f t="shared" ca="1" si="291"/>
        <v>4.1888700000000014</v>
      </c>
      <c r="U652" s="311">
        <f t="shared" ca="1" si="292"/>
        <v>0</v>
      </c>
      <c r="V652" s="306">
        <f t="shared" ca="1" si="293"/>
        <v>1.2255422867481118</v>
      </c>
      <c r="W652" s="304">
        <f t="shared" ca="1" si="294"/>
        <v>3.5499277201527026</v>
      </c>
      <c r="Y652" s="314" t="str">
        <f t="shared" ca="1" si="312"/>
        <v/>
      </c>
      <c r="Z652" s="315" t="str">
        <f t="shared" ca="1" si="313"/>
        <v/>
      </c>
      <c r="AA652" s="316" t="str">
        <f t="shared" ca="1" si="314"/>
        <v/>
      </c>
      <c r="AC652" s="310" t="e">
        <f t="shared" ca="1" si="315"/>
        <v>#N/A</v>
      </c>
      <c r="AD652" s="323" t="e">
        <f t="shared" ca="1" si="316"/>
        <v>#N/A</v>
      </c>
      <c r="AE652" s="324" t="e">
        <f t="shared" ca="1" si="295"/>
        <v>#N/A</v>
      </c>
      <c r="AG652" s="306">
        <f t="shared" ca="1" si="317"/>
        <v>1.471367581071263</v>
      </c>
      <c r="AH652" s="304">
        <f t="shared" ca="1" si="318"/>
        <v>-8.3135969655894311</v>
      </c>
    </row>
    <row r="653" spans="1:34" x14ac:dyDescent="0.3">
      <c r="A653" s="347">
        <f t="shared" ca="1" si="296"/>
        <v>1E-4</v>
      </c>
      <c r="B653" s="304">
        <f t="shared" ca="1" si="297"/>
        <v>16.130799999999891</v>
      </c>
      <c r="D653" s="306">
        <f t="shared" ca="1" si="298"/>
        <v>-0.59355979783875734</v>
      </c>
      <c r="E653" s="307">
        <f t="shared" ca="1" si="299"/>
        <v>-1.5175678613090202</v>
      </c>
      <c r="F653" s="304">
        <f t="shared" ca="1" si="300"/>
        <v>1.6295169367909068</v>
      </c>
      <c r="G653" s="306">
        <f t="shared" ca="1" si="301"/>
        <v>3.7360402977075711</v>
      </c>
      <c r="H653" s="307">
        <f t="shared" ca="1" si="302"/>
        <v>-52.195992772968793</v>
      </c>
      <c r="I653" s="304">
        <f t="shared" ca="1" si="303"/>
        <v>52.329529509273307</v>
      </c>
      <c r="J653" s="306">
        <f t="shared" ca="1" si="304"/>
        <v>150.09587023194715</v>
      </c>
      <c r="K653" s="307">
        <f t="shared" ca="1" si="305"/>
        <v>-4.4310705638957426</v>
      </c>
      <c r="L653" s="304">
        <f t="shared" ca="1" si="290"/>
        <v>150.16126213850143</v>
      </c>
      <c r="M653" s="306">
        <f t="shared" ca="1" si="306"/>
        <v>-1.4993410412341655</v>
      </c>
      <c r="N653" s="304">
        <f t="shared" ca="1" si="307"/>
        <v>-85.90591371346801</v>
      </c>
      <c r="P653" s="310">
        <f t="shared" ca="1" si="308"/>
        <v>23</v>
      </c>
      <c r="Q653" s="304">
        <f t="shared" ca="1" si="309"/>
        <v>0</v>
      </c>
      <c r="R653" s="306">
        <f t="shared" ca="1" si="310"/>
        <v>0</v>
      </c>
      <c r="S653" s="307">
        <f t="shared" ca="1" si="311"/>
        <v>0.4270000000000001</v>
      </c>
      <c r="T653" s="304">
        <f t="shared" ca="1" si="291"/>
        <v>4.1888700000000014</v>
      </c>
      <c r="U653" s="311">
        <f t="shared" ca="1" si="292"/>
        <v>0</v>
      </c>
      <c r="V653" s="306">
        <f t="shared" ca="1" si="293"/>
        <v>1.2255429264313438</v>
      </c>
      <c r="W653" s="304">
        <f t="shared" ca="1" si="294"/>
        <v>3.5499495354015775</v>
      </c>
      <c r="Y653" s="314" t="str">
        <f t="shared" ca="1" si="312"/>
        <v/>
      </c>
      <c r="Z653" s="315" t="str">
        <f t="shared" ca="1" si="313"/>
        <v/>
      </c>
      <c r="AA653" s="316" t="str">
        <f t="shared" ca="1" si="314"/>
        <v/>
      </c>
      <c r="AC653" s="310" t="e">
        <f t="shared" ca="1" si="315"/>
        <v>#N/A</v>
      </c>
      <c r="AD653" s="323" t="e">
        <f t="shared" ca="1" si="316"/>
        <v>#N/A</v>
      </c>
      <c r="AE653" s="324" t="e">
        <f t="shared" ca="1" si="295"/>
        <v>#N/A</v>
      </c>
      <c r="AG653" s="306">
        <f t="shared" ca="1" si="317"/>
        <v>1.4713174275516501</v>
      </c>
      <c r="AH653" s="304">
        <f t="shared" ca="1" si="318"/>
        <v>-8.3136480565637036</v>
      </c>
    </row>
    <row r="654" spans="1:34" x14ac:dyDescent="0.3">
      <c r="A654" s="347">
        <f t="shared" ca="1" si="296"/>
        <v>1E-4</v>
      </c>
      <c r="B654" s="304">
        <f t="shared" ca="1" si="297"/>
        <v>16.13089999999989</v>
      </c>
      <c r="D654" s="306">
        <f t="shared" ca="1" si="298"/>
        <v>-0.59355234652912492</v>
      </c>
      <c r="E654" s="307">
        <f t="shared" ca="1" si="299"/>
        <v>-1.5175161076761334</v>
      </c>
      <c r="F654" s="304">
        <f t="shared" ca="1" si="300"/>
        <v>1.6294660245389447</v>
      </c>
      <c r="G654" s="306">
        <f t="shared" ca="1" si="301"/>
        <v>3.735980942472918</v>
      </c>
      <c r="H654" s="307">
        <f t="shared" ca="1" si="302"/>
        <v>-52.196144524579559</v>
      </c>
      <c r="I654" s="304">
        <f t="shared" ca="1" si="303"/>
        <v>52.329676636047708</v>
      </c>
      <c r="J654" s="306">
        <f t="shared" ca="1" si="304"/>
        <v>150.09587023194715</v>
      </c>
      <c r="K654" s="307">
        <f t="shared" ca="1" si="305"/>
        <v>-4.4362901707606204</v>
      </c>
      <c r="L654" s="304">
        <f t="shared" ca="1" si="290"/>
        <v>150.16141625319304</v>
      </c>
      <c r="M654" s="306">
        <f t="shared" ca="1" si="306"/>
        <v>-1.4993423796333958</v>
      </c>
      <c r="N654" s="304">
        <f t="shared" ca="1" si="307"/>
        <v>-85.905990398095213</v>
      </c>
      <c r="P654" s="310">
        <f t="shared" ca="1" si="308"/>
        <v>23</v>
      </c>
      <c r="Q654" s="304">
        <f t="shared" ca="1" si="309"/>
        <v>0</v>
      </c>
      <c r="R654" s="306">
        <f t="shared" ca="1" si="310"/>
        <v>0</v>
      </c>
      <c r="S654" s="307">
        <f t="shared" ca="1" si="311"/>
        <v>0.4270000000000001</v>
      </c>
      <c r="T654" s="304">
        <f t="shared" ca="1" si="291"/>
        <v>4.1888700000000014</v>
      </c>
      <c r="U654" s="311">
        <f t="shared" ca="1" si="292"/>
        <v>0</v>
      </c>
      <c r="V654" s="306">
        <f t="shared" ca="1" si="293"/>
        <v>1.2255435661167693</v>
      </c>
      <c r="W654" s="304">
        <f t="shared" ca="1" si="294"/>
        <v>3.5499713500533203</v>
      </c>
      <c r="Y654" s="314" t="str">
        <f t="shared" ca="1" si="312"/>
        <v/>
      </c>
      <c r="Z654" s="315" t="str">
        <f t="shared" ca="1" si="313"/>
        <v/>
      </c>
      <c r="AA654" s="316" t="str">
        <f t="shared" ca="1" si="314"/>
        <v/>
      </c>
      <c r="AC654" s="310" t="e">
        <f t="shared" ca="1" si="315"/>
        <v>#N/A</v>
      </c>
      <c r="AD654" s="323" t="e">
        <f t="shared" ca="1" si="316"/>
        <v>#N/A</v>
      </c>
      <c r="AE654" s="324" t="e">
        <f t="shared" ca="1" si="295"/>
        <v>#N/A</v>
      </c>
      <c r="AG654" s="306">
        <f t="shared" ca="1" si="317"/>
        <v>1.4712672753927958</v>
      </c>
      <c r="AH654" s="304">
        <f t="shared" ca="1" si="318"/>
        <v>-8.3136991461395233</v>
      </c>
    </row>
    <row r="655" spans="1:34" x14ac:dyDescent="0.3">
      <c r="A655" s="347">
        <f t="shared" ca="1" si="296"/>
        <v>1E-4</v>
      </c>
      <c r="B655" s="304">
        <f t="shared" ca="1" si="297"/>
        <v>16.13099999999989</v>
      </c>
      <c r="D655" s="306">
        <f t="shared" ca="1" si="298"/>
        <v>-0.5935448952209228</v>
      </c>
      <c r="E655" s="307">
        <f t="shared" ca="1" si="299"/>
        <v>-1.5174643554602909</v>
      </c>
      <c r="F655" s="304">
        <f t="shared" ca="1" si="300"/>
        <v>1.6294151136942767</v>
      </c>
      <c r="G655" s="306">
        <f t="shared" ca="1" si="301"/>
        <v>3.735921587983396</v>
      </c>
      <c r="H655" s="307">
        <f t="shared" ca="1" si="302"/>
        <v>-52.196296271015107</v>
      </c>
      <c r="I655" s="304">
        <f t="shared" ca="1" si="303"/>
        <v>52.329823757807034</v>
      </c>
      <c r="J655" s="306">
        <f t="shared" ca="1" si="304"/>
        <v>150.09587023194715</v>
      </c>
      <c r="K655" s="307">
        <f t="shared" ca="1" si="305"/>
        <v>-4.4415097928004004</v>
      </c>
      <c r="L655" s="304">
        <f t="shared" ca="1" si="290"/>
        <v>150.16157054960851</v>
      </c>
      <c r="M655" s="306">
        <f t="shared" ca="1" si="306"/>
        <v>-1.4993437180038371</v>
      </c>
      <c r="N655" s="304">
        <f t="shared" ca="1" si="307"/>
        <v>-85.906067081072933</v>
      </c>
      <c r="P655" s="310">
        <f t="shared" ca="1" si="308"/>
        <v>23</v>
      </c>
      <c r="Q655" s="304">
        <f t="shared" ca="1" si="309"/>
        <v>0</v>
      </c>
      <c r="R655" s="306">
        <f t="shared" ca="1" si="310"/>
        <v>0</v>
      </c>
      <c r="S655" s="307">
        <f t="shared" ca="1" si="311"/>
        <v>0.4270000000000001</v>
      </c>
      <c r="T655" s="304">
        <f t="shared" ca="1" si="291"/>
        <v>4.1888700000000014</v>
      </c>
      <c r="U655" s="311">
        <f t="shared" ca="1" si="292"/>
        <v>0</v>
      </c>
      <c r="V655" s="306">
        <f t="shared" ca="1" si="293"/>
        <v>1.2255442058043886</v>
      </c>
      <c r="W655" s="304">
        <f t="shared" ca="1" si="294"/>
        <v>3.5499931641079447</v>
      </c>
      <c r="Y655" s="314" t="str">
        <f t="shared" ca="1" si="312"/>
        <v/>
      </c>
      <c r="Z655" s="315" t="str">
        <f t="shared" ca="1" si="313"/>
        <v/>
      </c>
      <c r="AA655" s="316" t="str">
        <f t="shared" ca="1" si="314"/>
        <v/>
      </c>
      <c r="AC655" s="310" t="e">
        <f t="shared" ca="1" si="315"/>
        <v>#N/A</v>
      </c>
      <c r="AD655" s="323" t="e">
        <f t="shared" ca="1" si="316"/>
        <v>#N/A</v>
      </c>
      <c r="AE655" s="324" t="e">
        <f t="shared" ca="1" si="295"/>
        <v>#N/A</v>
      </c>
      <c r="AG655" s="306">
        <f t="shared" ca="1" si="317"/>
        <v>1.4712171245946877</v>
      </c>
      <c r="AH655" s="304">
        <f t="shared" ca="1" si="318"/>
        <v>-8.3137502343169079</v>
      </c>
    </row>
    <row r="656" spans="1:34" x14ac:dyDescent="0.3">
      <c r="A656" s="347">
        <f t="shared" ca="1" si="296"/>
        <v>1E-4</v>
      </c>
      <c r="B656" s="304">
        <f t="shared" ca="1" si="297"/>
        <v>16.13109999999989</v>
      </c>
      <c r="D656" s="306">
        <f t="shared" ca="1" si="298"/>
        <v>-0.59353744391415408</v>
      </c>
      <c r="E656" s="307">
        <f t="shared" ca="1" si="299"/>
        <v>-1.5174126046614642</v>
      </c>
      <c r="F656" s="304">
        <f t="shared" ca="1" si="300"/>
        <v>1.6293642042568741</v>
      </c>
      <c r="G656" s="306">
        <f t="shared" ca="1" si="301"/>
        <v>3.7358622342390047</v>
      </c>
      <c r="H656" s="307">
        <f t="shared" ca="1" si="302"/>
        <v>-52.196448012275575</v>
      </c>
      <c r="I656" s="304">
        <f t="shared" ca="1" si="303"/>
        <v>52.329970874551421</v>
      </c>
      <c r="J656" s="306">
        <f t="shared" ca="1" si="304"/>
        <v>150.09587023194715</v>
      </c>
      <c r="K656" s="307">
        <f t="shared" ca="1" si="305"/>
        <v>-4.4467294300145648</v>
      </c>
      <c r="L656" s="304">
        <f t="shared" ca="1" si="290"/>
        <v>150.16172502774893</v>
      </c>
      <c r="M656" s="306">
        <f t="shared" ca="1" si="306"/>
        <v>-1.4993450563454902</v>
      </c>
      <c r="N656" s="304">
        <f t="shared" ca="1" si="307"/>
        <v>-85.9061437624012</v>
      </c>
      <c r="P656" s="310">
        <f t="shared" ca="1" si="308"/>
        <v>23</v>
      </c>
      <c r="Q656" s="304">
        <f t="shared" ca="1" si="309"/>
        <v>0</v>
      </c>
      <c r="R656" s="306">
        <f t="shared" ca="1" si="310"/>
        <v>0</v>
      </c>
      <c r="S656" s="307">
        <f t="shared" ca="1" si="311"/>
        <v>0.4270000000000001</v>
      </c>
      <c r="T656" s="304">
        <f t="shared" ca="1" si="291"/>
        <v>4.1888700000000014</v>
      </c>
      <c r="U656" s="311">
        <f t="shared" ca="1" si="292"/>
        <v>0</v>
      </c>
      <c r="V656" s="306">
        <f t="shared" ca="1" si="293"/>
        <v>1.2255448454942017</v>
      </c>
      <c r="W656" s="304">
        <f t="shared" ca="1" si="294"/>
        <v>3.550014977565465</v>
      </c>
      <c r="Y656" s="314" t="str">
        <f t="shared" ca="1" si="312"/>
        <v/>
      </c>
      <c r="Z656" s="315" t="str">
        <f t="shared" ca="1" si="313"/>
        <v/>
      </c>
      <c r="AA656" s="316" t="str">
        <f t="shared" ca="1" si="314"/>
        <v/>
      </c>
      <c r="AC656" s="310" t="e">
        <f t="shared" ca="1" si="315"/>
        <v>#N/A</v>
      </c>
      <c r="AD656" s="323" t="e">
        <f t="shared" ca="1" si="316"/>
        <v>#N/A</v>
      </c>
      <c r="AE656" s="324" t="e">
        <f t="shared" ca="1" si="295"/>
        <v>#N/A</v>
      </c>
      <c r="AG656" s="306">
        <f t="shared" ca="1" si="317"/>
        <v>1.471166975157292</v>
      </c>
      <c r="AH656" s="304">
        <f t="shared" ca="1" si="318"/>
        <v>-8.3138013210958874</v>
      </c>
    </row>
    <row r="657" spans="1:34" x14ac:dyDescent="0.3">
      <c r="A657" s="347">
        <f t="shared" ca="1" si="296"/>
        <v>1E-4</v>
      </c>
      <c r="B657" s="304">
        <f t="shared" ca="1" si="297"/>
        <v>16.13119999999989</v>
      </c>
      <c r="D657" s="306">
        <f t="shared" ca="1" si="298"/>
        <v>-0.59352999260882588</v>
      </c>
      <c r="E657" s="307">
        <f t="shared" ca="1" si="299"/>
        <v>-1.5173608552796161</v>
      </c>
      <c r="F657" s="304">
        <f t="shared" ca="1" si="300"/>
        <v>1.6293132962267021</v>
      </c>
      <c r="G657" s="306">
        <f t="shared" ca="1" si="301"/>
        <v>3.7358028812397439</v>
      </c>
      <c r="H657" s="307">
        <f t="shared" ca="1" si="302"/>
        <v>-52.196599748361102</v>
      </c>
      <c r="I657" s="304">
        <f t="shared" ca="1" si="303"/>
        <v>52.330117986280989</v>
      </c>
      <c r="J657" s="306">
        <f t="shared" ca="1" si="304"/>
        <v>150.09587023194715</v>
      </c>
      <c r="K657" s="307">
        <f t="shared" ca="1" si="305"/>
        <v>-4.4519490824025967</v>
      </c>
      <c r="L657" s="304">
        <f t="shared" ca="1" si="290"/>
        <v>150.1618796876152</v>
      </c>
      <c r="M657" s="306">
        <f t="shared" ca="1" si="306"/>
        <v>-1.4993463946583558</v>
      </c>
      <c r="N657" s="304">
        <f t="shared" ca="1" si="307"/>
        <v>-85.90622044208007</v>
      </c>
      <c r="P657" s="310">
        <f t="shared" ca="1" si="308"/>
        <v>23</v>
      </c>
      <c r="Q657" s="304">
        <f t="shared" ca="1" si="309"/>
        <v>0</v>
      </c>
      <c r="R657" s="306">
        <f t="shared" ca="1" si="310"/>
        <v>0</v>
      </c>
      <c r="S657" s="307">
        <f t="shared" ca="1" si="311"/>
        <v>0.4270000000000001</v>
      </c>
      <c r="T657" s="304">
        <f t="shared" ca="1" si="291"/>
        <v>4.1888700000000014</v>
      </c>
      <c r="U657" s="311">
        <f t="shared" ca="1" si="292"/>
        <v>0</v>
      </c>
      <c r="V657" s="306">
        <f t="shared" ca="1" si="293"/>
        <v>1.2255454851862082</v>
      </c>
      <c r="W657" s="304">
        <f t="shared" ca="1" si="294"/>
        <v>3.5500367904258874</v>
      </c>
      <c r="Y657" s="314" t="str">
        <f t="shared" ca="1" si="312"/>
        <v/>
      </c>
      <c r="Z657" s="315" t="str">
        <f t="shared" ca="1" si="313"/>
        <v/>
      </c>
      <c r="AA657" s="316" t="str">
        <f t="shared" ca="1" si="314"/>
        <v/>
      </c>
      <c r="AC657" s="310" t="e">
        <f t="shared" ca="1" si="315"/>
        <v>#N/A</v>
      </c>
      <c r="AD657" s="323" t="e">
        <f t="shared" ca="1" si="316"/>
        <v>#N/A</v>
      </c>
      <c r="AE657" s="324" t="e">
        <f t="shared" ca="1" si="295"/>
        <v>#N/A</v>
      </c>
      <c r="AG657" s="306">
        <f t="shared" ca="1" si="317"/>
        <v>1.4711168270805768</v>
      </c>
      <c r="AH657" s="304">
        <f t="shared" ca="1" si="318"/>
        <v>-8.3138524064764976</v>
      </c>
    </row>
    <row r="658" spans="1:34" x14ac:dyDescent="0.3">
      <c r="A658" s="347">
        <f t="shared" ca="1" si="296"/>
        <v>1E-4</v>
      </c>
      <c r="B658" s="304">
        <f t="shared" ca="1" si="297"/>
        <v>16.131299999999889</v>
      </c>
      <c r="D658" s="306">
        <f t="shared" ca="1" si="298"/>
        <v>-0.59352254130494153</v>
      </c>
      <c r="E658" s="307">
        <f t="shared" ca="1" si="299"/>
        <v>-1.5173091073147358</v>
      </c>
      <c r="F658" s="304">
        <f t="shared" ca="1" si="300"/>
        <v>1.6292623896037484</v>
      </c>
      <c r="G658" s="306">
        <f t="shared" ca="1" si="301"/>
        <v>3.7357435289856133</v>
      </c>
      <c r="H658" s="307">
        <f t="shared" ca="1" si="302"/>
        <v>-52.196751479271832</v>
      </c>
      <c r="I658" s="304">
        <f t="shared" ca="1" si="303"/>
        <v>52.330265092995894</v>
      </c>
      <c r="J658" s="306">
        <f t="shared" ca="1" si="304"/>
        <v>150.09587023194715</v>
      </c>
      <c r="K658" s="307">
        <f t="shared" ca="1" si="305"/>
        <v>-4.4571687499639783</v>
      </c>
      <c r="L658" s="304">
        <f t="shared" ca="1" si="290"/>
        <v>150.16203452920837</v>
      </c>
      <c r="M658" s="306">
        <f t="shared" ca="1" si="306"/>
        <v>-1.4993477329424347</v>
      </c>
      <c r="N658" s="304">
        <f t="shared" ca="1" si="307"/>
        <v>-85.906297120109571</v>
      </c>
      <c r="P658" s="310">
        <f t="shared" ca="1" si="308"/>
        <v>23</v>
      </c>
      <c r="Q658" s="304">
        <f t="shared" ca="1" si="309"/>
        <v>0</v>
      </c>
      <c r="R658" s="306">
        <f t="shared" ca="1" si="310"/>
        <v>0</v>
      </c>
      <c r="S658" s="307">
        <f t="shared" ca="1" si="311"/>
        <v>0.4270000000000001</v>
      </c>
      <c r="T658" s="304">
        <f t="shared" ca="1" si="291"/>
        <v>4.1888700000000014</v>
      </c>
      <c r="U658" s="311">
        <f t="shared" ca="1" si="292"/>
        <v>0</v>
      </c>
      <c r="V658" s="306">
        <f t="shared" ca="1" si="293"/>
        <v>1.225546124880408</v>
      </c>
      <c r="W658" s="304">
        <f t="shared" ca="1" si="294"/>
        <v>3.5500586026892282</v>
      </c>
      <c r="Y658" s="314" t="str">
        <f t="shared" ca="1" si="312"/>
        <v/>
      </c>
      <c r="Z658" s="315" t="str">
        <f t="shared" ca="1" si="313"/>
        <v/>
      </c>
      <c r="AA658" s="316" t="str">
        <f t="shared" ca="1" si="314"/>
        <v/>
      </c>
      <c r="AC658" s="310" t="e">
        <f t="shared" ca="1" si="315"/>
        <v>#N/A</v>
      </c>
      <c r="AD658" s="323" t="e">
        <f t="shared" ca="1" si="316"/>
        <v>#N/A</v>
      </c>
      <c r="AE658" s="324" t="e">
        <f t="shared" ca="1" si="295"/>
        <v>#N/A</v>
      </c>
      <c r="AG658" s="306">
        <f t="shared" ca="1" si="317"/>
        <v>1.4710666803645314</v>
      </c>
      <c r="AH658" s="304">
        <f t="shared" ca="1" si="318"/>
        <v>-8.3139034904587508</v>
      </c>
    </row>
    <row r="659" spans="1:34" x14ac:dyDescent="0.3">
      <c r="A659" s="347">
        <f t="shared" ca="1" si="296"/>
        <v>1E-4</v>
      </c>
      <c r="B659" s="304">
        <f t="shared" ca="1" si="297"/>
        <v>16.131399999999889</v>
      </c>
      <c r="D659" s="306">
        <f t="shared" ca="1" si="298"/>
        <v>-0.5935150900025089</v>
      </c>
      <c r="E659" s="307">
        <f t="shared" ca="1" si="299"/>
        <v>-1.5172573607667825</v>
      </c>
      <c r="F659" s="304">
        <f t="shared" ca="1" si="300"/>
        <v>1.6292114843879748</v>
      </c>
      <c r="G659" s="306">
        <f t="shared" ca="1" si="301"/>
        <v>3.735684177476613</v>
      </c>
      <c r="H659" s="307">
        <f t="shared" ca="1" si="302"/>
        <v>-52.196903205007906</v>
      </c>
      <c r="I659" s="304">
        <f t="shared" ca="1" si="303"/>
        <v>52.330412194696251</v>
      </c>
      <c r="J659" s="306">
        <f t="shared" ca="1" si="304"/>
        <v>150.09587023194715</v>
      </c>
      <c r="K659" s="307">
        <f t="shared" ca="1" si="305"/>
        <v>-4.4623884326981926</v>
      </c>
      <c r="L659" s="304">
        <f t="shared" ca="1" si="290"/>
        <v>150.1621895525295</v>
      </c>
      <c r="M659" s="306">
        <f t="shared" ca="1" si="306"/>
        <v>-1.4993490711977282</v>
      </c>
      <c r="N659" s="304">
        <f t="shared" ca="1" si="307"/>
        <v>-85.906373796489802</v>
      </c>
      <c r="P659" s="310">
        <f t="shared" ca="1" si="308"/>
        <v>23</v>
      </c>
      <c r="Q659" s="304">
        <f t="shared" ca="1" si="309"/>
        <v>0</v>
      </c>
      <c r="R659" s="306">
        <f t="shared" ca="1" si="310"/>
        <v>0</v>
      </c>
      <c r="S659" s="307">
        <f t="shared" ca="1" si="311"/>
        <v>0.4270000000000001</v>
      </c>
      <c r="T659" s="304">
        <f t="shared" ca="1" si="291"/>
        <v>4.1888700000000014</v>
      </c>
      <c r="U659" s="311">
        <f t="shared" ca="1" si="292"/>
        <v>0</v>
      </c>
      <c r="V659" s="306">
        <f t="shared" ca="1" si="293"/>
        <v>1.2255467645768017</v>
      </c>
      <c r="W659" s="304">
        <f t="shared" ca="1" si="294"/>
        <v>3.5500804143554974</v>
      </c>
      <c r="Y659" s="314" t="str">
        <f t="shared" ca="1" si="312"/>
        <v/>
      </c>
      <c r="Z659" s="315" t="str">
        <f t="shared" ca="1" si="313"/>
        <v/>
      </c>
      <c r="AA659" s="316" t="str">
        <f t="shared" ca="1" si="314"/>
        <v/>
      </c>
      <c r="AC659" s="310" t="e">
        <f t="shared" ca="1" si="315"/>
        <v>#N/A</v>
      </c>
      <c r="AD659" s="323" t="e">
        <f t="shared" ca="1" si="316"/>
        <v>#N/A</v>
      </c>
      <c r="AE659" s="324" t="e">
        <f t="shared" ca="1" si="295"/>
        <v>#N/A</v>
      </c>
      <c r="AG659" s="306">
        <f t="shared" ca="1" si="317"/>
        <v>1.4710165350091167</v>
      </c>
      <c r="AH659" s="304">
        <f t="shared" ca="1" si="318"/>
        <v>-8.3139545730426878</v>
      </c>
    </row>
    <row r="660" spans="1:34" x14ac:dyDescent="0.3">
      <c r="A660" s="347">
        <f t="shared" ca="1" si="296"/>
        <v>1E-4</v>
      </c>
      <c r="B660" s="304">
        <f t="shared" ca="1" si="297"/>
        <v>16.131499999999889</v>
      </c>
      <c r="D660" s="306">
        <f t="shared" ca="1" si="298"/>
        <v>-0.59350763870152801</v>
      </c>
      <c r="E660" s="307">
        <f t="shared" ca="1" si="299"/>
        <v>-1.5172056156357314</v>
      </c>
      <c r="F660" s="304">
        <f t="shared" ca="1" si="300"/>
        <v>1.6291605805793554</v>
      </c>
      <c r="G660" s="306">
        <f t="shared" ca="1" si="301"/>
        <v>3.7356248267127428</v>
      </c>
      <c r="H660" s="307">
        <f t="shared" ca="1" si="302"/>
        <v>-52.197054925569468</v>
      </c>
      <c r="I660" s="304">
        <f t="shared" ca="1" si="303"/>
        <v>52.330559291382208</v>
      </c>
      <c r="J660" s="306">
        <f t="shared" ca="1" si="304"/>
        <v>150.09587023194715</v>
      </c>
      <c r="K660" s="307">
        <f t="shared" ca="1" si="305"/>
        <v>-4.4676081306047211</v>
      </c>
      <c r="L660" s="304">
        <f t="shared" ca="1" si="290"/>
        <v>150.16234475757949</v>
      </c>
      <c r="M660" s="306">
        <f t="shared" ca="1" si="306"/>
        <v>-1.4993504094242365</v>
      </c>
      <c r="N660" s="304">
        <f t="shared" ca="1" si="307"/>
        <v>-85.906450471220765</v>
      </c>
      <c r="P660" s="310">
        <f t="shared" ca="1" si="308"/>
        <v>23</v>
      </c>
      <c r="Q660" s="304">
        <f t="shared" ca="1" si="309"/>
        <v>0</v>
      </c>
      <c r="R660" s="306">
        <f t="shared" ca="1" si="310"/>
        <v>0</v>
      </c>
      <c r="S660" s="307">
        <f t="shared" ca="1" si="311"/>
        <v>0.4270000000000001</v>
      </c>
      <c r="T660" s="304">
        <f t="shared" ca="1" si="291"/>
        <v>4.1888700000000014</v>
      </c>
      <c r="U660" s="311">
        <f t="shared" ca="1" si="292"/>
        <v>0</v>
      </c>
      <c r="V660" s="306">
        <f t="shared" ca="1" si="293"/>
        <v>1.2255474042753889</v>
      </c>
      <c r="W660" s="304">
        <f t="shared" ca="1" si="294"/>
        <v>3.5501022254247068</v>
      </c>
      <c r="Y660" s="314" t="str">
        <f t="shared" ca="1" si="312"/>
        <v/>
      </c>
      <c r="Z660" s="315" t="str">
        <f t="shared" ca="1" si="313"/>
        <v/>
      </c>
      <c r="AA660" s="316" t="str">
        <f t="shared" ca="1" si="314"/>
        <v/>
      </c>
      <c r="AC660" s="310" t="e">
        <f t="shared" ca="1" si="315"/>
        <v>#N/A</v>
      </c>
      <c r="AD660" s="323" t="e">
        <f t="shared" ca="1" si="316"/>
        <v>#N/A</v>
      </c>
      <c r="AE660" s="324" t="e">
        <f t="shared" ca="1" si="295"/>
        <v>#N/A</v>
      </c>
      <c r="AG660" s="306">
        <f t="shared" ca="1" si="317"/>
        <v>1.4709663910143167</v>
      </c>
      <c r="AH660" s="304">
        <f t="shared" ca="1" si="318"/>
        <v>-8.3140056542283283</v>
      </c>
    </row>
    <row r="661" spans="1:34" x14ac:dyDescent="0.3">
      <c r="A661" s="347">
        <f t="shared" ca="1" si="296"/>
        <v>1E-4</v>
      </c>
      <c r="B661" s="304">
        <f t="shared" ca="1" si="297"/>
        <v>16.131599999999889</v>
      </c>
      <c r="D661" s="306">
        <f t="shared" ca="1" si="298"/>
        <v>-0.59350018740200972</v>
      </c>
      <c r="E661" s="307">
        <f t="shared" ca="1" si="299"/>
        <v>-1.5171538719215558</v>
      </c>
      <c r="F661" s="304">
        <f t="shared" ca="1" si="300"/>
        <v>1.6291096781778658</v>
      </c>
      <c r="G661" s="306">
        <f t="shared" ca="1" si="301"/>
        <v>3.7355654766940027</v>
      </c>
      <c r="H661" s="307">
        <f t="shared" ca="1" si="302"/>
        <v>-52.197206640956658</v>
      </c>
      <c r="I661" s="304">
        <f t="shared" ca="1" si="303"/>
        <v>52.330706383053901</v>
      </c>
      <c r="J661" s="306">
        <f t="shared" ca="1" si="304"/>
        <v>150.09587023194715</v>
      </c>
      <c r="K661" s="307">
        <f t="shared" ca="1" si="305"/>
        <v>-4.4728278436830475</v>
      </c>
      <c r="L661" s="304">
        <f t="shared" ca="1" si="290"/>
        <v>150.16250014435943</v>
      </c>
      <c r="M661" s="306">
        <f t="shared" ca="1" si="306"/>
        <v>-1.4993517476219607</v>
      </c>
      <c r="N661" s="304">
        <f t="shared" ca="1" si="307"/>
        <v>-85.906527144302515</v>
      </c>
      <c r="P661" s="310">
        <f t="shared" ca="1" si="308"/>
        <v>23</v>
      </c>
      <c r="Q661" s="304">
        <f t="shared" ca="1" si="309"/>
        <v>0</v>
      </c>
      <c r="R661" s="306">
        <f t="shared" ca="1" si="310"/>
        <v>0</v>
      </c>
      <c r="S661" s="307">
        <f t="shared" ca="1" si="311"/>
        <v>0.4270000000000001</v>
      </c>
      <c r="T661" s="304">
        <f t="shared" ca="1" si="291"/>
        <v>4.1888700000000014</v>
      </c>
      <c r="U661" s="311">
        <f t="shared" ca="1" si="292"/>
        <v>0</v>
      </c>
      <c r="V661" s="306">
        <f t="shared" ca="1" si="293"/>
        <v>1.225548043976169</v>
      </c>
      <c r="W661" s="304">
        <f t="shared" ca="1" si="294"/>
        <v>3.5501240358968666</v>
      </c>
      <c r="Y661" s="314" t="str">
        <f t="shared" ca="1" si="312"/>
        <v/>
      </c>
      <c r="Z661" s="315" t="str">
        <f t="shared" ca="1" si="313"/>
        <v/>
      </c>
      <c r="AA661" s="316" t="str">
        <f t="shared" ca="1" si="314"/>
        <v/>
      </c>
      <c r="AC661" s="310" t="e">
        <f t="shared" ca="1" si="315"/>
        <v>#N/A</v>
      </c>
      <c r="AD661" s="323" t="e">
        <f t="shared" ca="1" si="316"/>
        <v>#N/A</v>
      </c>
      <c r="AE661" s="324" t="e">
        <f t="shared" ca="1" si="295"/>
        <v>#N/A</v>
      </c>
      <c r="AG661" s="306">
        <f t="shared" ca="1" si="317"/>
        <v>1.4709162483800995</v>
      </c>
      <c r="AH661" s="304">
        <f t="shared" ca="1" si="318"/>
        <v>-8.3140567340157041</v>
      </c>
    </row>
    <row r="662" spans="1:34" x14ac:dyDescent="0.3">
      <c r="A662" s="347">
        <f t="shared" ca="1" si="296"/>
        <v>1E-4</v>
      </c>
      <c r="B662" s="304">
        <f t="shared" ca="1" si="297"/>
        <v>16.131699999999888</v>
      </c>
      <c r="D662" s="306">
        <f t="shared" ca="1" si="298"/>
        <v>-0.59349273610395625</v>
      </c>
      <c r="E662" s="307">
        <f t="shared" ca="1" si="299"/>
        <v>-1.5171021296242291</v>
      </c>
      <c r="F662" s="304">
        <f t="shared" ca="1" si="300"/>
        <v>1.6290587771834788</v>
      </c>
      <c r="G662" s="306">
        <f t="shared" ca="1" si="301"/>
        <v>3.7355061274203925</v>
      </c>
      <c r="H662" s="307">
        <f t="shared" ca="1" si="302"/>
        <v>-52.197358351169619</v>
      </c>
      <c r="I662" s="304">
        <f t="shared" ca="1" si="303"/>
        <v>52.330853469711457</v>
      </c>
      <c r="J662" s="306">
        <f t="shared" ca="1" si="304"/>
        <v>150.09587023194715</v>
      </c>
      <c r="K662" s="307">
        <f t="shared" ca="1" si="305"/>
        <v>-4.4780475719326542</v>
      </c>
      <c r="L662" s="304">
        <f t="shared" ca="1" si="290"/>
        <v>150.16265571287028</v>
      </c>
      <c r="M662" s="306">
        <f t="shared" ca="1" si="306"/>
        <v>-1.4993530857909017</v>
      </c>
      <c r="N662" s="304">
        <f t="shared" ca="1" si="307"/>
        <v>-85.90660381573511</v>
      </c>
      <c r="P662" s="310">
        <f t="shared" ca="1" si="308"/>
        <v>23</v>
      </c>
      <c r="Q662" s="304">
        <f t="shared" ca="1" si="309"/>
        <v>0</v>
      </c>
      <c r="R662" s="306">
        <f t="shared" ca="1" si="310"/>
        <v>0</v>
      </c>
      <c r="S662" s="307">
        <f t="shared" ca="1" si="311"/>
        <v>0.4270000000000001</v>
      </c>
      <c r="T662" s="304">
        <f t="shared" ca="1" si="291"/>
        <v>4.1888700000000014</v>
      </c>
      <c r="U662" s="311">
        <f t="shared" ca="1" si="292"/>
        <v>0</v>
      </c>
      <c r="V662" s="306">
        <f t="shared" ca="1" si="293"/>
        <v>1.2255486836791429</v>
      </c>
      <c r="W662" s="304">
        <f t="shared" ca="1" si="294"/>
        <v>3.5501458457719903</v>
      </c>
      <c r="Y662" s="314" t="str">
        <f t="shared" ca="1" si="312"/>
        <v/>
      </c>
      <c r="Z662" s="315" t="str">
        <f t="shared" ca="1" si="313"/>
        <v/>
      </c>
      <c r="AA662" s="316" t="str">
        <f t="shared" ca="1" si="314"/>
        <v/>
      </c>
      <c r="AC662" s="310" t="e">
        <f t="shared" ca="1" si="315"/>
        <v>#N/A</v>
      </c>
      <c r="AD662" s="323" t="e">
        <f t="shared" ca="1" si="316"/>
        <v>#N/A</v>
      </c>
      <c r="AE662" s="324" t="e">
        <f t="shared" ca="1" si="295"/>
        <v>#N/A</v>
      </c>
      <c r="AG662" s="306">
        <f t="shared" ca="1" si="317"/>
        <v>1.4708661071064402</v>
      </c>
      <c r="AH662" s="304">
        <f t="shared" ca="1" si="318"/>
        <v>-8.3141078124048384</v>
      </c>
    </row>
    <row r="663" spans="1:34" x14ac:dyDescent="0.3">
      <c r="A663" s="347">
        <f t="shared" ca="1" si="296"/>
        <v>1E-4</v>
      </c>
      <c r="B663" s="304">
        <f t="shared" ca="1" si="297"/>
        <v>16.131799999999888</v>
      </c>
      <c r="D663" s="306">
        <f t="shared" ca="1" si="298"/>
        <v>-0.59348528480737228</v>
      </c>
      <c r="E663" s="307">
        <f t="shared" ca="1" si="299"/>
        <v>-1.5170503887437228</v>
      </c>
      <c r="F663" s="304">
        <f t="shared" ca="1" si="300"/>
        <v>1.6290078775961669</v>
      </c>
      <c r="G663" s="306">
        <f t="shared" ca="1" si="301"/>
        <v>3.7354467788919119</v>
      </c>
      <c r="H663" s="307">
        <f t="shared" ca="1" si="302"/>
        <v>-52.197510056208493</v>
      </c>
      <c r="I663" s="304">
        <f t="shared" ca="1" si="303"/>
        <v>52.331000551355032</v>
      </c>
      <c r="J663" s="306">
        <f t="shared" ca="1" si="304"/>
        <v>150.09587023194715</v>
      </c>
      <c r="K663" s="307">
        <f t="shared" ca="1" si="305"/>
        <v>-4.4832673153530234</v>
      </c>
      <c r="L663" s="304">
        <f t="shared" ca="1" si="290"/>
        <v>150.16281146311303</v>
      </c>
      <c r="M663" s="306">
        <f t="shared" ca="1" si="306"/>
        <v>-1.4993544239310601</v>
      </c>
      <c r="N663" s="304">
        <f t="shared" ca="1" si="307"/>
        <v>-85.906680485518578</v>
      </c>
      <c r="P663" s="310">
        <f t="shared" ca="1" si="308"/>
        <v>23</v>
      </c>
      <c r="Q663" s="304">
        <f t="shared" ca="1" si="309"/>
        <v>0</v>
      </c>
      <c r="R663" s="306">
        <f t="shared" ca="1" si="310"/>
        <v>0</v>
      </c>
      <c r="S663" s="307">
        <f t="shared" ca="1" si="311"/>
        <v>0.4270000000000001</v>
      </c>
      <c r="T663" s="304">
        <f t="shared" ca="1" si="291"/>
        <v>4.1888700000000014</v>
      </c>
      <c r="U663" s="311">
        <f t="shared" ca="1" si="292"/>
        <v>0</v>
      </c>
      <c r="V663" s="306">
        <f t="shared" ca="1" si="293"/>
        <v>1.2255493233843096</v>
      </c>
      <c r="W663" s="304">
        <f t="shared" ca="1" si="294"/>
        <v>3.5501676550500902</v>
      </c>
      <c r="Y663" s="314" t="str">
        <f t="shared" ca="1" si="312"/>
        <v/>
      </c>
      <c r="Z663" s="315" t="str">
        <f t="shared" ca="1" si="313"/>
        <v/>
      </c>
      <c r="AA663" s="316" t="str">
        <f t="shared" ca="1" si="314"/>
        <v/>
      </c>
      <c r="AC663" s="310" t="e">
        <f t="shared" ca="1" si="315"/>
        <v>#N/A</v>
      </c>
      <c r="AD663" s="323" t="e">
        <f t="shared" ca="1" si="316"/>
        <v>#N/A</v>
      </c>
      <c r="AE663" s="324" t="e">
        <f t="shared" ca="1" si="295"/>
        <v>#N/A</v>
      </c>
      <c r="AG663" s="306">
        <f t="shared" ca="1" si="317"/>
        <v>1.4708159671933192</v>
      </c>
      <c r="AH663" s="304">
        <f t="shared" ca="1" si="318"/>
        <v>-8.3141588893957596</v>
      </c>
    </row>
    <row r="664" spans="1:34" x14ac:dyDescent="0.3">
      <c r="A664" s="347">
        <f t="shared" ca="1" si="296"/>
        <v>1E-4</v>
      </c>
      <c r="B664" s="304">
        <f t="shared" ca="1" si="297"/>
        <v>16.131899999999888</v>
      </c>
      <c r="D664" s="306">
        <f t="shared" ca="1" si="298"/>
        <v>-0.59347783351226502</v>
      </c>
      <c r="E664" s="307">
        <f t="shared" ca="1" si="299"/>
        <v>-1.5169986492800067</v>
      </c>
      <c r="F664" s="304">
        <f t="shared" ca="1" si="300"/>
        <v>1.6289569794159011</v>
      </c>
      <c r="G664" s="306">
        <f t="shared" ca="1" si="301"/>
        <v>3.7353874311085606</v>
      </c>
      <c r="H664" s="307">
        <f t="shared" ca="1" si="302"/>
        <v>-52.197661756073423</v>
      </c>
      <c r="I664" s="304">
        <f t="shared" ca="1" si="303"/>
        <v>52.331147627984748</v>
      </c>
      <c r="J664" s="306">
        <f t="shared" ca="1" si="304"/>
        <v>150.09587023194715</v>
      </c>
      <c r="K664" s="307">
        <f t="shared" ca="1" si="305"/>
        <v>-4.4884870739436371</v>
      </c>
      <c r="L664" s="304">
        <f t="shared" ca="1" si="290"/>
        <v>150.16296739508871</v>
      </c>
      <c r="M664" s="306">
        <f t="shared" ca="1" si="306"/>
        <v>-1.4993557620424369</v>
      </c>
      <c r="N664" s="304">
        <f t="shared" ca="1" si="307"/>
        <v>-85.90675715365299</v>
      </c>
      <c r="P664" s="310">
        <f t="shared" ca="1" si="308"/>
        <v>23</v>
      </c>
      <c r="Q664" s="304">
        <f t="shared" ca="1" si="309"/>
        <v>0</v>
      </c>
      <c r="R664" s="306">
        <f t="shared" ca="1" si="310"/>
        <v>0</v>
      </c>
      <c r="S664" s="307">
        <f t="shared" ca="1" si="311"/>
        <v>0.4270000000000001</v>
      </c>
      <c r="T664" s="304">
        <f t="shared" ca="1" si="291"/>
        <v>4.1888700000000014</v>
      </c>
      <c r="U664" s="311">
        <f t="shared" ca="1" si="292"/>
        <v>0</v>
      </c>
      <c r="V664" s="306">
        <f t="shared" ca="1" si="293"/>
        <v>1.2255499630916695</v>
      </c>
      <c r="W664" s="304">
        <f t="shared" ca="1" si="294"/>
        <v>3.5501894637311766</v>
      </c>
      <c r="Y664" s="314" t="str">
        <f t="shared" ca="1" si="312"/>
        <v/>
      </c>
      <c r="Z664" s="315" t="str">
        <f t="shared" ca="1" si="313"/>
        <v/>
      </c>
      <c r="AA664" s="316" t="str">
        <f t="shared" ca="1" si="314"/>
        <v/>
      </c>
      <c r="AC664" s="310" t="e">
        <f t="shared" ca="1" si="315"/>
        <v>#N/A</v>
      </c>
      <c r="AD664" s="323" t="e">
        <f t="shared" ca="1" si="316"/>
        <v>#N/A</v>
      </c>
      <c r="AE664" s="324" t="e">
        <f t="shared" ca="1" si="295"/>
        <v>#N/A</v>
      </c>
      <c r="AG664" s="306">
        <f t="shared" ca="1" si="317"/>
        <v>1.470765828640701</v>
      </c>
      <c r="AH664" s="304">
        <f t="shared" ca="1" si="318"/>
        <v>-8.3142099649884997</v>
      </c>
    </row>
    <row r="665" spans="1:34" x14ac:dyDescent="0.3">
      <c r="A665" s="347">
        <f t="shared" ca="1" si="296"/>
        <v>1E-4</v>
      </c>
      <c r="B665" s="304">
        <f t="shared" ca="1" si="297"/>
        <v>16.131999999999888</v>
      </c>
      <c r="D665" s="306">
        <f t="shared" ca="1" si="298"/>
        <v>-0.59347038221863857</v>
      </c>
      <c r="E665" s="307">
        <f t="shared" ca="1" si="299"/>
        <v>-1.5169469112330525</v>
      </c>
      <c r="F665" s="304">
        <f t="shared" ca="1" si="300"/>
        <v>1.6289060826426536</v>
      </c>
      <c r="G665" s="306">
        <f t="shared" ca="1" si="301"/>
        <v>3.7353280840703387</v>
      </c>
      <c r="H665" s="307">
        <f t="shared" ca="1" si="302"/>
        <v>-52.197813450764549</v>
      </c>
      <c r="I665" s="304">
        <f t="shared" ca="1" si="303"/>
        <v>52.331294699600747</v>
      </c>
      <c r="J665" s="306">
        <f t="shared" ca="1" si="304"/>
        <v>150.09587023194715</v>
      </c>
      <c r="K665" s="307">
        <f t="shared" ca="1" si="305"/>
        <v>-4.4937068477039794</v>
      </c>
      <c r="L665" s="304">
        <f t="shared" ca="1" si="290"/>
        <v>150.16312350879832</v>
      </c>
      <c r="M665" s="306">
        <f t="shared" ca="1" si="306"/>
        <v>-1.499357100125033</v>
      </c>
      <c r="N665" s="304">
        <f t="shared" ca="1" si="307"/>
        <v>-85.906833820138388</v>
      </c>
      <c r="P665" s="310">
        <f t="shared" ca="1" si="308"/>
        <v>23</v>
      </c>
      <c r="Q665" s="304">
        <f t="shared" ca="1" si="309"/>
        <v>0</v>
      </c>
      <c r="R665" s="306">
        <f t="shared" ca="1" si="310"/>
        <v>0</v>
      </c>
      <c r="S665" s="307">
        <f t="shared" ca="1" si="311"/>
        <v>0.4270000000000001</v>
      </c>
      <c r="T665" s="304">
        <f t="shared" ca="1" si="291"/>
        <v>4.1888700000000014</v>
      </c>
      <c r="U665" s="311">
        <f t="shared" ca="1" si="292"/>
        <v>0</v>
      </c>
      <c r="V665" s="306">
        <f t="shared" ca="1" si="293"/>
        <v>1.2255506028012229</v>
      </c>
      <c r="W665" s="304">
        <f t="shared" ca="1" si="294"/>
        <v>3.5502112718152627</v>
      </c>
      <c r="Y665" s="314" t="str">
        <f t="shared" ca="1" si="312"/>
        <v/>
      </c>
      <c r="Z665" s="315" t="str">
        <f t="shared" ca="1" si="313"/>
        <v/>
      </c>
      <c r="AA665" s="316" t="str">
        <f t="shared" ca="1" si="314"/>
        <v/>
      </c>
      <c r="AC665" s="310" t="e">
        <f t="shared" ca="1" si="315"/>
        <v>#N/A</v>
      </c>
      <c r="AD665" s="323" t="e">
        <f t="shared" ca="1" si="316"/>
        <v>#N/A</v>
      </c>
      <c r="AE665" s="324" t="e">
        <f t="shared" ca="1" si="295"/>
        <v>#N/A</v>
      </c>
      <c r="AG665" s="306">
        <f t="shared" ca="1" si="317"/>
        <v>1.4707156914485662</v>
      </c>
      <c r="AH665" s="304">
        <f t="shared" ca="1" si="318"/>
        <v>-8.3142610391830818</v>
      </c>
    </row>
    <row r="666" spans="1:34" x14ac:dyDescent="0.3">
      <c r="A666" s="347">
        <f t="shared" ca="1" si="296"/>
        <v>1E-4</v>
      </c>
      <c r="B666" s="304">
        <f t="shared" ca="1" si="297"/>
        <v>16.132099999999888</v>
      </c>
      <c r="D666" s="306">
        <f t="shared" ca="1" si="298"/>
        <v>-0.59346293092649771</v>
      </c>
      <c r="E666" s="307">
        <f t="shared" ca="1" si="299"/>
        <v>-1.5168951746028352</v>
      </c>
      <c r="F666" s="304">
        <f t="shared" ca="1" si="300"/>
        <v>1.6288551872763997</v>
      </c>
      <c r="G666" s="306">
        <f t="shared" ca="1" si="301"/>
        <v>3.735268737777246</v>
      </c>
      <c r="H666" s="307">
        <f t="shared" ca="1" si="302"/>
        <v>-52.197965140282008</v>
      </c>
      <c r="I666" s="304">
        <f t="shared" ca="1" si="303"/>
        <v>52.331441766203149</v>
      </c>
      <c r="J666" s="306">
        <f t="shared" ca="1" si="304"/>
        <v>150.09587023194715</v>
      </c>
      <c r="K666" s="307">
        <f t="shared" ca="1" si="305"/>
        <v>-4.4989266366335317</v>
      </c>
      <c r="L666" s="304">
        <f t="shared" ca="1" si="290"/>
        <v>150.16327980424285</v>
      </c>
      <c r="M666" s="306">
        <f t="shared" ca="1" si="306"/>
        <v>-1.4993584381788492</v>
      </c>
      <c r="N666" s="304">
        <f t="shared" ca="1" si="307"/>
        <v>-85.906910484974816</v>
      </c>
      <c r="P666" s="310">
        <f t="shared" ca="1" si="308"/>
        <v>23</v>
      </c>
      <c r="Q666" s="304">
        <f t="shared" ca="1" si="309"/>
        <v>0</v>
      </c>
      <c r="R666" s="306">
        <f t="shared" ca="1" si="310"/>
        <v>0</v>
      </c>
      <c r="S666" s="307">
        <f t="shared" ca="1" si="311"/>
        <v>0.4270000000000001</v>
      </c>
      <c r="T666" s="304">
        <f t="shared" ca="1" si="291"/>
        <v>4.1888700000000014</v>
      </c>
      <c r="U666" s="311">
        <f t="shared" ca="1" si="292"/>
        <v>0</v>
      </c>
      <c r="V666" s="306">
        <f t="shared" ca="1" si="293"/>
        <v>1.2255512425129687</v>
      </c>
      <c r="W666" s="304">
        <f t="shared" ca="1" si="294"/>
        <v>3.5502330793023558</v>
      </c>
      <c r="Y666" s="314" t="str">
        <f t="shared" ca="1" si="312"/>
        <v/>
      </c>
      <c r="Z666" s="315" t="str">
        <f t="shared" ca="1" si="313"/>
        <v/>
      </c>
      <c r="AA666" s="316" t="str">
        <f t="shared" ca="1" si="314"/>
        <v/>
      </c>
      <c r="AC666" s="310" t="e">
        <f t="shared" ca="1" si="315"/>
        <v>#N/A</v>
      </c>
      <c r="AD666" s="323" t="e">
        <f t="shared" ca="1" si="316"/>
        <v>#N/A</v>
      </c>
      <c r="AE666" s="324" t="e">
        <f t="shared" ca="1" si="295"/>
        <v>#N/A</v>
      </c>
      <c r="AG666" s="306">
        <f t="shared" ca="1" si="317"/>
        <v>1.4706655556168844</v>
      </c>
      <c r="AH666" s="304">
        <f t="shared" ca="1" si="318"/>
        <v>-8.314312111979536</v>
      </c>
    </row>
    <row r="667" spans="1:34" x14ac:dyDescent="0.3">
      <c r="A667" s="347">
        <f t="shared" ca="1" si="296"/>
        <v>1E-4</v>
      </c>
      <c r="B667" s="304">
        <f t="shared" ca="1" si="297"/>
        <v>16.132199999999887</v>
      </c>
      <c r="D667" s="306">
        <f t="shared" ca="1" si="298"/>
        <v>-0.59345547963584666</v>
      </c>
      <c r="E667" s="307">
        <f t="shared" ca="1" si="299"/>
        <v>-1.5168434393893335</v>
      </c>
      <c r="F667" s="304">
        <f t="shared" ca="1" si="300"/>
        <v>1.6288042933171178</v>
      </c>
      <c r="G667" s="306">
        <f t="shared" ca="1" si="301"/>
        <v>3.7352093922292826</v>
      </c>
      <c r="H667" s="307">
        <f t="shared" ca="1" si="302"/>
        <v>-52.198116824625949</v>
      </c>
      <c r="I667" s="304">
        <f t="shared" ca="1" si="303"/>
        <v>52.33158882779211</v>
      </c>
      <c r="J667" s="306">
        <f t="shared" ca="1" si="304"/>
        <v>150.09587023194715</v>
      </c>
      <c r="K667" s="307">
        <f t="shared" ca="1" si="305"/>
        <v>-4.5041464407317768</v>
      </c>
      <c r="L667" s="304">
        <f t="shared" ca="1" si="290"/>
        <v>150.16343628142329</v>
      </c>
      <c r="M667" s="306">
        <f t="shared" ca="1" si="306"/>
        <v>-1.4993597762038859</v>
      </c>
      <c r="N667" s="304">
        <f t="shared" ca="1" si="307"/>
        <v>-85.906987148162301</v>
      </c>
      <c r="P667" s="310">
        <f t="shared" ca="1" si="308"/>
        <v>23</v>
      </c>
      <c r="Q667" s="304">
        <f t="shared" ca="1" si="309"/>
        <v>0</v>
      </c>
      <c r="R667" s="306">
        <f t="shared" ca="1" si="310"/>
        <v>0</v>
      </c>
      <c r="S667" s="307">
        <f t="shared" ca="1" si="311"/>
        <v>0.4270000000000001</v>
      </c>
      <c r="T667" s="304">
        <f t="shared" ca="1" si="291"/>
        <v>4.1888700000000014</v>
      </c>
      <c r="U667" s="311">
        <f t="shared" ca="1" si="292"/>
        <v>0</v>
      </c>
      <c r="V667" s="306">
        <f t="shared" ca="1" si="293"/>
        <v>1.2255518822269083</v>
      </c>
      <c r="W667" s="304">
        <f t="shared" ca="1" si="294"/>
        <v>3.5502548861924748</v>
      </c>
      <c r="Y667" s="314" t="str">
        <f t="shared" ca="1" si="312"/>
        <v/>
      </c>
      <c r="Z667" s="315" t="str">
        <f t="shared" ca="1" si="313"/>
        <v/>
      </c>
      <c r="AA667" s="316" t="str">
        <f t="shared" ca="1" si="314"/>
        <v/>
      </c>
      <c r="AC667" s="310" t="e">
        <f t="shared" ca="1" si="315"/>
        <v>#N/A</v>
      </c>
      <c r="AD667" s="323" t="e">
        <f t="shared" ca="1" si="316"/>
        <v>#N/A</v>
      </c>
      <c r="AE667" s="324" t="e">
        <f t="shared" ca="1" si="295"/>
        <v>#N/A</v>
      </c>
      <c r="AG667" s="306">
        <f t="shared" ca="1" si="317"/>
        <v>1.470615421145645</v>
      </c>
      <c r="AH667" s="304">
        <f t="shared" ca="1" si="318"/>
        <v>-8.3143631833778802</v>
      </c>
    </row>
    <row r="668" spans="1:34" x14ac:dyDescent="0.3">
      <c r="A668" s="347">
        <f t="shared" ca="1" si="296"/>
        <v>1E-4</v>
      </c>
      <c r="B668" s="304">
        <f t="shared" ca="1" si="297"/>
        <v>16.132299999999887</v>
      </c>
      <c r="D668" s="306">
        <f t="shared" ca="1" si="298"/>
        <v>-0.59344802834669463</v>
      </c>
      <c r="E668" s="307">
        <f t="shared" ca="1" si="299"/>
        <v>-1.5167917055925031</v>
      </c>
      <c r="F668" s="304">
        <f t="shared" ca="1" si="300"/>
        <v>1.628753400764767</v>
      </c>
      <c r="G668" s="306">
        <f t="shared" ca="1" si="301"/>
        <v>3.7351500474264481</v>
      </c>
      <c r="H668" s="307">
        <f t="shared" ca="1" si="302"/>
        <v>-52.198268503796506</v>
      </c>
      <c r="I668" s="304">
        <f t="shared" ca="1" si="303"/>
        <v>52.33173588436776</v>
      </c>
      <c r="J668" s="306">
        <f t="shared" ca="1" si="304"/>
        <v>150.09587023194715</v>
      </c>
      <c r="K668" s="307">
        <f t="shared" ca="1" si="305"/>
        <v>-4.5093662599981981</v>
      </c>
      <c r="L668" s="304">
        <f t="shared" ca="1" si="290"/>
        <v>150.16359294034066</v>
      </c>
      <c r="M668" s="306">
        <f t="shared" ca="1" si="306"/>
        <v>-1.4993611142001446</v>
      </c>
      <c r="N668" s="304">
        <f t="shared" ca="1" si="307"/>
        <v>-85.907063809700929</v>
      </c>
      <c r="P668" s="310">
        <f t="shared" ca="1" si="308"/>
        <v>23</v>
      </c>
      <c r="Q668" s="304">
        <f t="shared" ca="1" si="309"/>
        <v>0</v>
      </c>
      <c r="R668" s="306">
        <f t="shared" ca="1" si="310"/>
        <v>0</v>
      </c>
      <c r="S668" s="307">
        <f t="shared" ca="1" si="311"/>
        <v>0.4270000000000001</v>
      </c>
      <c r="T668" s="304">
        <f t="shared" ca="1" si="291"/>
        <v>4.1888700000000014</v>
      </c>
      <c r="U668" s="311">
        <f t="shared" ca="1" si="292"/>
        <v>0</v>
      </c>
      <c r="V668" s="306">
        <f t="shared" ca="1" si="293"/>
        <v>1.2255525219430403</v>
      </c>
      <c r="W668" s="304">
        <f t="shared" ca="1" si="294"/>
        <v>3.5502766924856251</v>
      </c>
      <c r="Y668" s="314" t="str">
        <f t="shared" ca="1" si="312"/>
        <v/>
      </c>
      <c r="Z668" s="315" t="str">
        <f t="shared" ca="1" si="313"/>
        <v/>
      </c>
      <c r="AA668" s="316" t="str">
        <f t="shared" ca="1" si="314"/>
        <v/>
      </c>
      <c r="AC668" s="310" t="e">
        <f t="shared" ca="1" si="315"/>
        <v>#N/A</v>
      </c>
      <c r="AD668" s="323" t="e">
        <f t="shared" ca="1" si="316"/>
        <v>#N/A</v>
      </c>
      <c r="AE668" s="324" t="e">
        <f t="shared" ca="1" si="295"/>
        <v>#N/A</v>
      </c>
      <c r="AG668" s="306">
        <f t="shared" ca="1" si="317"/>
        <v>1.4705652880347966</v>
      </c>
      <c r="AH668" s="304">
        <f t="shared" ca="1" si="318"/>
        <v>-8.3144142533781586</v>
      </c>
    </row>
    <row r="669" spans="1:34" x14ac:dyDescent="0.3">
      <c r="A669" s="347">
        <f t="shared" ca="1" si="296"/>
        <v>1E-4</v>
      </c>
      <c r="B669" s="304">
        <f t="shared" ca="1" si="297"/>
        <v>16.132399999999887</v>
      </c>
      <c r="D669" s="306">
        <f t="shared" ca="1" si="298"/>
        <v>-0.59344057705904185</v>
      </c>
      <c r="E669" s="307">
        <f t="shared" ca="1" si="299"/>
        <v>-1.5167399732123314</v>
      </c>
      <c r="F669" s="304">
        <f t="shared" ca="1" si="300"/>
        <v>1.6287025096193326</v>
      </c>
      <c r="G669" s="306">
        <f t="shared" ca="1" si="301"/>
        <v>3.7350907033687424</v>
      </c>
      <c r="H669" s="307">
        <f t="shared" ca="1" si="302"/>
        <v>-52.198420177793828</v>
      </c>
      <c r="I669" s="304">
        <f t="shared" ca="1" si="303"/>
        <v>52.331882935930231</v>
      </c>
      <c r="J669" s="306">
        <f t="shared" ca="1" si="304"/>
        <v>150.09587023194715</v>
      </c>
      <c r="K669" s="307">
        <f t="shared" ca="1" si="305"/>
        <v>-4.5145860944322775</v>
      </c>
      <c r="L669" s="304">
        <f t="shared" ca="1" si="290"/>
        <v>150.16374978099594</v>
      </c>
      <c r="M669" s="306">
        <f t="shared" ca="1" si="306"/>
        <v>-1.4993624521676256</v>
      </c>
      <c r="N669" s="304">
        <f t="shared" ca="1" si="307"/>
        <v>-85.907140469590715</v>
      </c>
      <c r="P669" s="310">
        <f t="shared" ca="1" si="308"/>
        <v>23</v>
      </c>
      <c r="Q669" s="304">
        <f t="shared" ca="1" si="309"/>
        <v>0</v>
      </c>
      <c r="R669" s="306">
        <f t="shared" ca="1" si="310"/>
        <v>0</v>
      </c>
      <c r="S669" s="307">
        <f t="shared" ca="1" si="311"/>
        <v>0.4270000000000001</v>
      </c>
      <c r="T669" s="304">
        <f t="shared" ca="1" si="291"/>
        <v>4.1888700000000014</v>
      </c>
      <c r="U669" s="311">
        <f t="shared" ca="1" si="292"/>
        <v>0</v>
      </c>
      <c r="V669" s="306">
        <f t="shared" ca="1" si="293"/>
        <v>1.2255531616613653</v>
      </c>
      <c r="W669" s="304">
        <f t="shared" ca="1" si="294"/>
        <v>3.5502984981818213</v>
      </c>
      <c r="Y669" s="314" t="str">
        <f t="shared" ca="1" si="312"/>
        <v/>
      </c>
      <c r="Z669" s="315" t="str">
        <f t="shared" ca="1" si="313"/>
        <v/>
      </c>
      <c r="AA669" s="316" t="str">
        <f t="shared" ca="1" si="314"/>
        <v/>
      </c>
      <c r="AC669" s="310" t="e">
        <f t="shared" ca="1" si="315"/>
        <v>#N/A</v>
      </c>
      <c r="AD669" s="323" t="e">
        <f t="shared" ca="1" si="316"/>
        <v>#N/A</v>
      </c>
      <c r="AE669" s="324" t="e">
        <f t="shared" ca="1" si="295"/>
        <v>#N/A</v>
      </c>
      <c r="AG669" s="306">
        <f t="shared" ca="1" si="317"/>
        <v>1.4705151562843337</v>
      </c>
      <c r="AH669" s="304">
        <f t="shared" ca="1" si="318"/>
        <v>-8.3144653219803839</v>
      </c>
    </row>
    <row r="670" spans="1:34" x14ac:dyDescent="0.3">
      <c r="A670" s="347">
        <f t="shared" ca="1" si="296"/>
        <v>1E-4</v>
      </c>
      <c r="B670" s="304">
        <f t="shared" ca="1" si="297"/>
        <v>16.132499999999887</v>
      </c>
      <c r="D670" s="306">
        <f t="shared" ca="1" si="298"/>
        <v>-0.59343312577289697</v>
      </c>
      <c r="E670" s="307">
        <f t="shared" ca="1" si="299"/>
        <v>-1.5166882422487831</v>
      </c>
      <c r="F670" s="304">
        <f t="shared" ca="1" si="300"/>
        <v>1.6286516198807817</v>
      </c>
      <c r="G670" s="306">
        <f t="shared" ca="1" si="301"/>
        <v>3.7350313600561651</v>
      </c>
      <c r="H670" s="307">
        <f t="shared" ca="1" si="302"/>
        <v>-52.198571846618051</v>
      </c>
      <c r="I670" s="304">
        <f t="shared" ca="1" si="303"/>
        <v>52.332029982479661</v>
      </c>
      <c r="J670" s="306">
        <f t="shared" ca="1" si="304"/>
        <v>150.09587023194715</v>
      </c>
      <c r="K670" s="307">
        <f t="shared" ca="1" si="305"/>
        <v>-4.5198059440334983</v>
      </c>
      <c r="L670" s="304">
        <f t="shared" ca="1" si="290"/>
        <v>150.16390680339012</v>
      </c>
      <c r="M670" s="306">
        <f t="shared" ca="1" si="306"/>
        <v>-1.4993637901063299</v>
      </c>
      <c r="N670" s="304">
        <f t="shared" ca="1" si="307"/>
        <v>-85.907217127831728</v>
      </c>
      <c r="P670" s="310">
        <f t="shared" ca="1" si="308"/>
        <v>23</v>
      </c>
      <c r="Q670" s="304">
        <f t="shared" ca="1" si="309"/>
        <v>0</v>
      </c>
      <c r="R670" s="306">
        <f t="shared" ca="1" si="310"/>
        <v>0</v>
      </c>
      <c r="S670" s="307">
        <f t="shared" ca="1" si="311"/>
        <v>0.4270000000000001</v>
      </c>
      <c r="T670" s="304">
        <f t="shared" ca="1" si="291"/>
        <v>4.1888700000000014</v>
      </c>
      <c r="U670" s="311">
        <f t="shared" ca="1" si="292"/>
        <v>0</v>
      </c>
      <c r="V670" s="306">
        <f t="shared" ca="1" si="293"/>
        <v>1.2255538013818832</v>
      </c>
      <c r="W670" s="304">
        <f t="shared" ca="1" si="294"/>
        <v>3.5503203032810737</v>
      </c>
      <c r="Y670" s="314" t="str">
        <f t="shared" ca="1" si="312"/>
        <v/>
      </c>
      <c r="Z670" s="315" t="str">
        <f t="shared" ca="1" si="313"/>
        <v/>
      </c>
      <c r="AA670" s="316" t="str">
        <f t="shared" ca="1" si="314"/>
        <v/>
      </c>
      <c r="AC670" s="310" t="e">
        <f t="shared" ca="1" si="315"/>
        <v>#N/A</v>
      </c>
      <c r="AD670" s="323" t="e">
        <f t="shared" ca="1" si="316"/>
        <v>#N/A</v>
      </c>
      <c r="AE670" s="324" t="e">
        <f t="shared" ca="1" si="295"/>
        <v>#N/A</v>
      </c>
      <c r="AG670" s="306">
        <f t="shared" ca="1" si="317"/>
        <v>1.4704650258942245</v>
      </c>
      <c r="AH670" s="304">
        <f t="shared" ca="1" si="318"/>
        <v>-8.3145163891845915</v>
      </c>
    </row>
    <row r="671" spans="1:34" x14ac:dyDescent="0.3">
      <c r="A671" s="347">
        <f t="shared" ca="1" si="296"/>
        <v>1E-4</v>
      </c>
      <c r="B671" s="304">
        <f t="shared" ca="1" si="297"/>
        <v>16.132599999999886</v>
      </c>
      <c r="D671" s="306">
        <f t="shared" ca="1" si="298"/>
        <v>-0.59342567448826455</v>
      </c>
      <c r="E671" s="307">
        <f t="shared" ca="1" si="299"/>
        <v>-1.5166365127018349</v>
      </c>
      <c r="F671" s="304">
        <f t="shared" ca="1" si="300"/>
        <v>1.6286007315490911</v>
      </c>
      <c r="G671" s="306">
        <f t="shared" ca="1" si="301"/>
        <v>3.7349720174887162</v>
      </c>
      <c r="H671" s="307">
        <f t="shared" ca="1" si="302"/>
        <v>-52.198723510269325</v>
      </c>
      <c r="I671" s="304">
        <f t="shared" ca="1" si="303"/>
        <v>52.332177024016183</v>
      </c>
      <c r="J671" s="306">
        <f t="shared" ca="1" si="304"/>
        <v>150.09587023194715</v>
      </c>
      <c r="K671" s="307">
        <f t="shared" ca="1" si="305"/>
        <v>-4.5250258088013426</v>
      </c>
      <c r="L671" s="304">
        <f t="shared" ca="1" si="290"/>
        <v>150.16406400752422</v>
      </c>
      <c r="M671" s="306">
        <f t="shared" ca="1" si="306"/>
        <v>-1.4993651280162585</v>
      </c>
      <c r="N671" s="304">
        <f t="shared" ca="1" si="307"/>
        <v>-85.907293784423999</v>
      </c>
      <c r="P671" s="310">
        <f t="shared" ca="1" si="308"/>
        <v>23</v>
      </c>
      <c r="Q671" s="304">
        <f t="shared" ca="1" si="309"/>
        <v>0</v>
      </c>
      <c r="R671" s="306">
        <f t="shared" ca="1" si="310"/>
        <v>0</v>
      </c>
      <c r="S671" s="307">
        <f t="shared" ca="1" si="311"/>
        <v>0.4270000000000001</v>
      </c>
      <c r="T671" s="304">
        <f t="shared" ca="1" si="291"/>
        <v>4.1888700000000014</v>
      </c>
      <c r="U671" s="311">
        <f t="shared" ca="1" si="292"/>
        <v>0</v>
      </c>
      <c r="V671" s="306">
        <f t="shared" ca="1" si="293"/>
        <v>1.2255544411045936</v>
      </c>
      <c r="W671" s="304">
        <f t="shared" ca="1" si="294"/>
        <v>3.5503421077833943</v>
      </c>
      <c r="Y671" s="314" t="str">
        <f t="shared" ca="1" si="312"/>
        <v/>
      </c>
      <c r="Z671" s="315" t="str">
        <f t="shared" ca="1" si="313"/>
        <v/>
      </c>
      <c r="AA671" s="316" t="str">
        <f t="shared" ca="1" si="314"/>
        <v/>
      </c>
      <c r="AC671" s="310" t="e">
        <f t="shared" ca="1" si="315"/>
        <v>#N/A</v>
      </c>
      <c r="AD671" s="323" t="e">
        <f t="shared" ca="1" si="316"/>
        <v>#N/A</v>
      </c>
      <c r="AE671" s="324" t="e">
        <f t="shared" ca="1" si="295"/>
        <v>#N/A</v>
      </c>
      <c r="AG671" s="306">
        <f t="shared" ca="1" si="317"/>
        <v>1.4704148968644457</v>
      </c>
      <c r="AH671" s="304">
        <f t="shared" ca="1" si="318"/>
        <v>-8.3145674549908026</v>
      </c>
    </row>
    <row r="672" spans="1:34" x14ac:dyDescent="0.3">
      <c r="A672" s="347">
        <f t="shared" ca="1" si="296"/>
        <v>1E-4</v>
      </c>
      <c r="B672" s="304">
        <f t="shared" ca="1" si="297"/>
        <v>16.132699999999886</v>
      </c>
      <c r="D672" s="306">
        <f t="shared" ca="1" si="298"/>
        <v>-0.59341822320514714</v>
      </c>
      <c r="E672" s="307">
        <f t="shared" ca="1" si="299"/>
        <v>-1.5165847845714584</v>
      </c>
      <c r="F672" s="304">
        <f t="shared" ca="1" si="300"/>
        <v>1.6285498446242321</v>
      </c>
      <c r="G672" s="306">
        <f t="shared" ca="1" si="301"/>
        <v>3.7349126756663957</v>
      </c>
      <c r="H672" s="307">
        <f t="shared" ca="1" si="302"/>
        <v>-52.198875168747783</v>
      </c>
      <c r="I672" s="304">
        <f t="shared" ca="1" si="303"/>
        <v>52.332324060539939</v>
      </c>
      <c r="J672" s="306">
        <f t="shared" ca="1" si="304"/>
        <v>150.09587023194715</v>
      </c>
      <c r="K672" s="307">
        <f t="shared" ca="1" si="305"/>
        <v>-4.5302456887352935</v>
      </c>
      <c r="L672" s="304">
        <f t="shared" ca="1" si="290"/>
        <v>150.16422139339923</v>
      </c>
      <c r="M672" s="306">
        <f t="shared" ca="1" si="306"/>
        <v>-1.499366465897412</v>
      </c>
      <c r="N672" s="304">
        <f t="shared" ca="1" si="307"/>
        <v>-85.907370439367583</v>
      </c>
      <c r="P672" s="310">
        <f t="shared" ca="1" si="308"/>
        <v>23</v>
      </c>
      <c r="Q672" s="304">
        <f t="shared" ca="1" si="309"/>
        <v>0</v>
      </c>
      <c r="R672" s="306">
        <f t="shared" ca="1" si="310"/>
        <v>0</v>
      </c>
      <c r="S672" s="307">
        <f t="shared" ca="1" si="311"/>
        <v>0.4270000000000001</v>
      </c>
      <c r="T672" s="304">
        <f t="shared" ca="1" si="291"/>
        <v>4.1888700000000014</v>
      </c>
      <c r="U672" s="311">
        <f t="shared" ca="1" si="292"/>
        <v>0</v>
      </c>
      <c r="V672" s="306">
        <f t="shared" ca="1" si="293"/>
        <v>1.225555080829497</v>
      </c>
      <c r="W672" s="304">
        <f t="shared" ca="1" si="294"/>
        <v>3.5503639116887968</v>
      </c>
      <c r="Y672" s="314" t="str">
        <f t="shared" ca="1" si="312"/>
        <v/>
      </c>
      <c r="Z672" s="315" t="str">
        <f t="shared" ca="1" si="313"/>
        <v/>
      </c>
      <c r="AA672" s="316" t="str">
        <f t="shared" ca="1" si="314"/>
        <v/>
      </c>
      <c r="AC672" s="310" t="e">
        <f t="shared" ca="1" si="315"/>
        <v>#N/A</v>
      </c>
      <c r="AD672" s="323" t="e">
        <f t="shared" ca="1" si="316"/>
        <v>#N/A</v>
      </c>
      <c r="AE672" s="324" t="e">
        <f t="shared" ca="1" si="295"/>
        <v>#N/A</v>
      </c>
      <c r="AG672" s="306">
        <f t="shared" ca="1" si="317"/>
        <v>1.4703647691949691</v>
      </c>
      <c r="AH672" s="304">
        <f t="shared" ca="1" si="318"/>
        <v>-8.3146185193990476</v>
      </c>
    </row>
    <row r="673" spans="1:34" x14ac:dyDescent="0.3">
      <c r="A673" s="347">
        <f t="shared" ca="1" si="296"/>
        <v>1E-4</v>
      </c>
      <c r="B673" s="304">
        <f t="shared" ca="1" si="297"/>
        <v>16.132799999999886</v>
      </c>
      <c r="D673" s="306">
        <f t="shared" ca="1" si="298"/>
        <v>-0.59341077192355385</v>
      </c>
      <c r="E673" s="307">
        <f t="shared" ca="1" si="299"/>
        <v>-1.5165330578576182</v>
      </c>
      <c r="F673" s="304">
        <f t="shared" ca="1" si="300"/>
        <v>1.628498959106172</v>
      </c>
      <c r="G673" s="306">
        <f t="shared" ca="1" si="301"/>
        <v>3.7348533345892032</v>
      </c>
      <c r="H673" s="307">
        <f t="shared" ca="1" si="302"/>
        <v>-52.199026822053568</v>
      </c>
      <c r="I673" s="304">
        <f t="shared" ca="1" si="303"/>
        <v>52.332471092051065</v>
      </c>
      <c r="J673" s="306">
        <f t="shared" ca="1" si="304"/>
        <v>150.09587023194715</v>
      </c>
      <c r="K673" s="307">
        <f t="shared" ca="1" si="305"/>
        <v>-4.5354655838348332</v>
      </c>
      <c r="L673" s="304">
        <f t="shared" ca="1" si="290"/>
        <v>150.16437896101613</v>
      </c>
      <c r="M673" s="306">
        <f t="shared" ca="1" si="306"/>
        <v>-1.4993678037497913</v>
      </c>
      <c r="N673" s="304">
        <f t="shared" ca="1" si="307"/>
        <v>-85.907447092662522</v>
      </c>
      <c r="P673" s="310">
        <f t="shared" ca="1" si="308"/>
        <v>23</v>
      </c>
      <c r="Q673" s="304">
        <f t="shared" ca="1" si="309"/>
        <v>0</v>
      </c>
      <c r="R673" s="306">
        <f t="shared" ca="1" si="310"/>
        <v>0</v>
      </c>
      <c r="S673" s="307">
        <f t="shared" ca="1" si="311"/>
        <v>0.4270000000000001</v>
      </c>
      <c r="T673" s="304">
        <f t="shared" ca="1" si="291"/>
        <v>4.1888700000000014</v>
      </c>
      <c r="U673" s="311">
        <f t="shared" ca="1" si="292"/>
        <v>0</v>
      </c>
      <c r="V673" s="306">
        <f t="shared" ca="1" si="293"/>
        <v>1.2255557205565928</v>
      </c>
      <c r="W673" s="304">
        <f t="shared" ca="1" si="294"/>
        <v>3.5503857149972902</v>
      </c>
      <c r="Y673" s="314" t="str">
        <f t="shared" ca="1" si="312"/>
        <v/>
      </c>
      <c r="Z673" s="315" t="str">
        <f t="shared" ca="1" si="313"/>
        <v/>
      </c>
      <c r="AA673" s="316" t="str">
        <f t="shared" ca="1" si="314"/>
        <v/>
      </c>
      <c r="AC673" s="310" t="e">
        <f t="shared" ca="1" si="315"/>
        <v>#N/A</v>
      </c>
      <c r="AD673" s="323" t="e">
        <f t="shared" ca="1" si="316"/>
        <v>#N/A</v>
      </c>
      <c r="AE673" s="324" t="e">
        <f t="shared" ca="1" si="295"/>
        <v>#N/A</v>
      </c>
      <c r="AG673" s="306">
        <f t="shared" ca="1" si="317"/>
        <v>1.4703146428857679</v>
      </c>
      <c r="AH673" s="304">
        <f t="shared" ca="1" si="318"/>
        <v>-8.3146695824093584</v>
      </c>
    </row>
    <row r="674" spans="1:34" x14ac:dyDescent="0.3">
      <c r="A674" s="347">
        <f t="shared" ca="1" si="296"/>
        <v>1E-4</v>
      </c>
      <c r="B674" s="304">
        <f t="shared" ca="1" si="297"/>
        <v>16.132899999999886</v>
      </c>
      <c r="D674" s="306">
        <f t="shared" ca="1" si="298"/>
        <v>-0.59340332064348655</v>
      </c>
      <c r="E674" s="307">
        <f t="shared" ca="1" si="299"/>
        <v>-1.5164813325602982</v>
      </c>
      <c r="F674" s="304">
        <f t="shared" ca="1" si="300"/>
        <v>1.6284480749948933</v>
      </c>
      <c r="G674" s="306">
        <f t="shared" ca="1" si="301"/>
        <v>3.7347939942571386</v>
      </c>
      <c r="H674" s="307">
        <f t="shared" ca="1" si="302"/>
        <v>-52.199178470186823</v>
      </c>
      <c r="I674" s="304">
        <f t="shared" ca="1" si="303"/>
        <v>52.332618118549682</v>
      </c>
      <c r="J674" s="306">
        <f t="shared" ca="1" si="304"/>
        <v>150.09587023194715</v>
      </c>
      <c r="K674" s="307">
        <f t="shared" ca="1" si="305"/>
        <v>-4.5406854940994457</v>
      </c>
      <c r="L674" s="304">
        <f t="shared" ca="1" si="290"/>
        <v>150.16453671037593</v>
      </c>
      <c r="M674" s="306">
        <f t="shared" ca="1" si="306"/>
        <v>-1.4993691415733972</v>
      </c>
      <c r="N674" s="304">
        <f t="shared" ca="1" si="307"/>
        <v>-85.907523744308875</v>
      </c>
      <c r="P674" s="310">
        <f t="shared" ca="1" si="308"/>
        <v>23</v>
      </c>
      <c r="Q674" s="304">
        <f t="shared" ca="1" si="309"/>
        <v>0</v>
      </c>
      <c r="R674" s="306">
        <f t="shared" ca="1" si="310"/>
        <v>0</v>
      </c>
      <c r="S674" s="307">
        <f t="shared" ca="1" si="311"/>
        <v>0.4270000000000001</v>
      </c>
      <c r="T674" s="304">
        <f t="shared" ca="1" si="291"/>
        <v>4.1888700000000014</v>
      </c>
      <c r="U674" s="311">
        <f t="shared" ca="1" si="292"/>
        <v>0</v>
      </c>
      <c r="V674" s="306">
        <f t="shared" ca="1" si="293"/>
        <v>1.2255563602858812</v>
      </c>
      <c r="W674" s="304">
        <f t="shared" ca="1" si="294"/>
        <v>3.5504075177088867</v>
      </c>
      <c r="Y674" s="314" t="str">
        <f t="shared" ca="1" si="312"/>
        <v/>
      </c>
      <c r="Z674" s="315" t="str">
        <f t="shared" ca="1" si="313"/>
        <v/>
      </c>
      <c r="AA674" s="316" t="str">
        <f t="shared" ca="1" si="314"/>
        <v/>
      </c>
      <c r="AC674" s="310" t="e">
        <f t="shared" ca="1" si="315"/>
        <v>#N/A</v>
      </c>
      <c r="AD674" s="323" t="e">
        <f t="shared" ca="1" si="316"/>
        <v>#N/A</v>
      </c>
      <c r="AE674" s="324" t="e">
        <f t="shared" ca="1" si="295"/>
        <v>#N/A</v>
      </c>
      <c r="AG674" s="306">
        <f t="shared" ca="1" si="317"/>
        <v>1.470264517936819</v>
      </c>
      <c r="AH674" s="304">
        <f t="shared" ca="1" si="318"/>
        <v>-8.3147206440217545</v>
      </c>
    </row>
    <row r="675" spans="1:34" x14ac:dyDescent="0.3">
      <c r="A675" s="347">
        <f t="shared" ca="1" si="296"/>
        <v>1E-4</v>
      </c>
      <c r="B675" s="304">
        <f t="shared" ca="1" si="297"/>
        <v>16.132999999999885</v>
      </c>
      <c r="D675" s="306">
        <f t="shared" ca="1" si="298"/>
        <v>-0.59339586936495237</v>
      </c>
      <c r="E675" s="307">
        <f t="shared" ca="1" si="299"/>
        <v>-1.5164296086794646</v>
      </c>
      <c r="F675" s="304">
        <f t="shared" ca="1" si="300"/>
        <v>1.6283971922903644</v>
      </c>
      <c r="G675" s="306">
        <f t="shared" ca="1" si="301"/>
        <v>3.734734654670202</v>
      </c>
      <c r="H675" s="307">
        <f t="shared" ca="1" si="302"/>
        <v>-52.199330113147688</v>
      </c>
      <c r="I675" s="304">
        <f t="shared" ca="1" si="303"/>
        <v>52.332765140035946</v>
      </c>
      <c r="J675" s="306">
        <f t="shared" ca="1" si="304"/>
        <v>150.09587023194715</v>
      </c>
      <c r="K675" s="307">
        <f t="shared" ca="1" si="305"/>
        <v>-4.5459054195286122</v>
      </c>
      <c r="L675" s="304">
        <f t="shared" ca="1" si="290"/>
        <v>150.1646946414796</v>
      </c>
      <c r="M675" s="306">
        <f t="shared" ca="1" si="306"/>
        <v>-1.4993704793682308</v>
      </c>
      <c r="N675" s="304">
        <f t="shared" ca="1" si="307"/>
        <v>-85.907600394306698</v>
      </c>
      <c r="P675" s="310">
        <f t="shared" ca="1" si="308"/>
        <v>23</v>
      </c>
      <c r="Q675" s="304">
        <f t="shared" ca="1" si="309"/>
        <v>0</v>
      </c>
      <c r="R675" s="306">
        <f t="shared" ca="1" si="310"/>
        <v>0</v>
      </c>
      <c r="S675" s="307">
        <f t="shared" ca="1" si="311"/>
        <v>0.4270000000000001</v>
      </c>
      <c r="T675" s="304">
        <f t="shared" ca="1" si="291"/>
        <v>4.1888700000000014</v>
      </c>
      <c r="U675" s="311">
        <f t="shared" ca="1" si="292"/>
        <v>0</v>
      </c>
      <c r="V675" s="306">
        <f t="shared" ca="1" si="293"/>
        <v>1.2255570000173621</v>
      </c>
      <c r="W675" s="304">
        <f t="shared" ca="1" si="294"/>
        <v>3.550429319823599</v>
      </c>
      <c r="Y675" s="314" t="str">
        <f t="shared" ca="1" si="312"/>
        <v/>
      </c>
      <c r="Z675" s="315" t="str">
        <f t="shared" ca="1" si="313"/>
        <v/>
      </c>
      <c r="AA675" s="316" t="str">
        <f t="shared" ca="1" si="314"/>
        <v/>
      </c>
      <c r="AC675" s="310" t="e">
        <f t="shared" ca="1" si="315"/>
        <v>#N/A</v>
      </c>
      <c r="AD675" s="323" t="e">
        <f t="shared" ca="1" si="316"/>
        <v>#N/A</v>
      </c>
      <c r="AE675" s="324" t="e">
        <f t="shared" ca="1" si="295"/>
        <v>#N/A</v>
      </c>
      <c r="AG675" s="306">
        <f t="shared" ca="1" si="317"/>
        <v>1.4702143943480959</v>
      </c>
      <c r="AH675" s="304">
        <f t="shared" ca="1" si="318"/>
        <v>-8.3147717042362661</v>
      </c>
    </row>
    <row r="676" spans="1:34" x14ac:dyDescent="0.3">
      <c r="A676" s="347">
        <f t="shared" ca="1" si="296"/>
        <v>1E-4</v>
      </c>
      <c r="B676" s="304">
        <f t="shared" ca="1" si="297"/>
        <v>16.133099999999885</v>
      </c>
      <c r="D676" s="306">
        <f t="shared" ca="1" si="298"/>
        <v>-0.59338841808795384</v>
      </c>
      <c r="E676" s="307">
        <f t="shared" ca="1" si="299"/>
        <v>-1.5163778862150874</v>
      </c>
      <c r="F676" s="304">
        <f t="shared" ca="1" si="300"/>
        <v>1.6283463109925544</v>
      </c>
      <c r="G676" s="306">
        <f t="shared" ca="1" si="301"/>
        <v>3.7346753158283934</v>
      </c>
      <c r="H676" s="307">
        <f t="shared" ca="1" si="302"/>
        <v>-52.199481750936307</v>
      </c>
      <c r="I676" s="304">
        <f t="shared" ca="1" si="303"/>
        <v>52.332912156509984</v>
      </c>
      <c r="J676" s="306">
        <f t="shared" ca="1" si="304"/>
        <v>150.09587023194715</v>
      </c>
      <c r="K676" s="307">
        <f t="shared" ca="1" si="305"/>
        <v>-4.5511253601218167</v>
      </c>
      <c r="L676" s="304">
        <f t="shared" ca="1" si="290"/>
        <v>150.16485275432817</v>
      </c>
      <c r="M676" s="306">
        <f t="shared" ca="1" si="306"/>
        <v>-1.4993718171342922</v>
      </c>
      <c r="N676" s="304">
        <f t="shared" ca="1" si="307"/>
        <v>-85.90767704265599</v>
      </c>
      <c r="P676" s="310">
        <f t="shared" ca="1" si="308"/>
        <v>23</v>
      </c>
      <c r="Q676" s="304">
        <f t="shared" ca="1" si="309"/>
        <v>0</v>
      </c>
      <c r="R676" s="306">
        <f t="shared" ca="1" si="310"/>
        <v>0</v>
      </c>
      <c r="S676" s="307">
        <f t="shared" ca="1" si="311"/>
        <v>0.4270000000000001</v>
      </c>
      <c r="T676" s="304">
        <f t="shared" ca="1" si="291"/>
        <v>4.1888700000000014</v>
      </c>
      <c r="U676" s="311">
        <f t="shared" ca="1" si="292"/>
        <v>0</v>
      </c>
      <c r="V676" s="306">
        <f t="shared" ca="1" si="293"/>
        <v>1.2255576397510355</v>
      </c>
      <c r="W676" s="304">
        <f t="shared" ca="1" si="294"/>
        <v>3.5504511213414376</v>
      </c>
      <c r="Y676" s="314" t="str">
        <f t="shared" ca="1" si="312"/>
        <v/>
      </c>
      <c r="Z676" s="315" t="str">
        <f t="shared" ca="1" si="313"/>
        <v/>
      </c>
      <c r="AA676" s="316" t="str">
        <f t="shared" ca="1" si="314"/>
        <v/>
      </c>
      <c r="AC676" s="310" t="e">
        <f t="shared" ca="1" si="315"/>
        <v>#N/A</v>
      </c>
      <c r="AD676" s="323" t="e">
        <f t="shared" ca="1" si="316"/>
        <v>#N/A</v>
      </c>
      <c r="AE676" s="324" t="e">
        <f t="shared" ca="1" si="295"/>
        <v>#N/A</v>
      </c>
      <c r="AG676" s="306">
        <f t="shared" ca="1" si="317"/>
        <v>1.4701642721195718</v>
      </c>
      <c r="AH676" s="304">
        <f t="shared" ca="1" si="318"/>
        <v>-8.3148227630529234</v>
      </c>
    </row>
    <row r="677" spans="1:34" x14ac:dyDescent="0.3">
      <c r="A677" s="347">
        <f t="shared" ca="1" si="296"/>
        <v>1E-4</v>
      </c>
      <c r="B677" s="304">
        <f t="shared" ca="1" si="297"/>
        <v>16.133199999999885</v>
      </c>
      <c r="D677" s="306">
        <f t="shared" ca="1" si="298"/>
        <v>-0.59338096681250119</v>
      </c>
      <c r="E677" s="307">
        <f t="shared" ca="1" si="299"/>
        <v>-1.5163261651671451</v>
      </c>
      <c r="F677" s="304">
        <f t="shared" ca="1" si="300"/>
        <v>1.6282954311014444</v>
      </c>
      <c r="G677" s="306">
        <f t="shared" ca="1" si="301"/>
        <v>3.7346159777317123</v>
      </c>
      <c r="H677" s="307">
        <f t="shared" ca="1" si="302"/>
        <v>-52.199633383552822</v>
      </c>
      <c r="I677" s="304">
        <f t="shared" ca="1" si="303"/>
        <v>52.333059167971932</v>
      </c>
      <c r="J677" s="306">
        <f t="shared" ca="1" si="304"/>
        <v>150.09587023194715</v>
      </c>
      <c r="K677" s="307">
        <f t="shared" ca="1" si="305"/>
        <v>-4.5563453158785414</v>
      </c>
      <c r="L677" s="304">
        <f t="shared" ca="1" si="290"/>
        <v>150.16501104892259</v>
      </c>
      <c r="M677" s="306">
        <f t="shared" ca="1" si="306"/>
        <v>-1.499373154871583</v>
      </c>
      <c r="N677" s="304">
        <f t="shared" ca="1" si="307"/>
        <v>-85.907753689356852</v>
      </c>
      <c r="P677" s="310">
        <f t="shared" ca="1" si="308"/>
        <v>23</v>
      </c>
      <c r="Q677" s="304">
        <f t="shared" ca="1" si="309"/>
        <v>0</v>
      </c>
      <c r="R677" s="306">
        <f t="shared" ca="1" si="310"/>
        <v>0</v>
      </c>
      <c r="S677" s="307">
        <f t="shared" ca="1" si="311"/>
        <v>0.4270000000000001</v>
      </c>
      <c r="T677" s="304">
        <f t="shared" ca="1" si="291"/>
        <v>4.1888700000000014</v>
      </c>
      <c r="U677" s="311">
        <f t="shared" ca="1" si="292"/>
        <v>0</v>
      </c>
      <c r="V677" s="306">
        <f t="shared" ca="1" si="293"/>
        <v>1.2255582794869015</v>
      </c>
      <c r="W677" s="304">
        <f t="shared" ca="1" si="294"/>
        <v>3.5504729222624154</v>
      </c>
      <c r="Y677" s="314" t="str">
        <f t="shared" ca="1" si="312"/>
        <v/>
      </c>
      <c r="Z677" s="315" t="str">
        <f t="shared" ca="1" si="313"/>
        <v/>
      </c>
      <c r="AA677" s="316" t="str">
        <f t="shared" ca="1" si="314"/>
        <v/>
      </c>
      <c r="AC677" s="310" t="e">
        <f t="shared" ca="1" si="315"/>
        <v>#N/A</v>
      </c>
      <c r="AD677" s="323" t="e">
        <f t="shared" ca="1" si="316"/>
        <v>#N/A</v>
      </c>
      <c r="AE677" s="324" t="e">
        <f t="shared" ca="1" si="295"/>
        <v>#N/A</v>
      </c>
      <c r="AG677" s="306">
        <f t="shared" ca="1" si="317"/>
        <v>1.4701141512512255</v>
      </c>
      <c r="AH677" s="304">
        <f t="shared" ca="1" si="318"/>
        <v>-8.3148738204717496</v>
      </c>
    </row>
    <row r="678" spans="1:34" x14ac:dyDescent="0.3">
      <c r="A678" s="347">
        <f t="shared" ca="1" si="296"/>
        <v>1E-4</v>
      </c>
      <c r="B678" s="304">
        <f t="shared" ca="1" si="297"/>
        <v>16.133299999999885</v>
      </c>
      <c r="D678" s="306">
        <f t="shared" ca="1" si="298"/>
        <v>-0.5933735155385953</v>
      </c>
      <c r="E678" s="307">
        <f t="shared" ca="1" si="299"/>
        <v>-1.5162744455356041</v>
      </c>
      <c r="F678" s="304">
        <f t="shared" ca="1" si="300"/>
        <v>1.6282445526170002</v>
      </c>
      <c r="G678" s="306">
        <f t="shared" ca="1" si="301"/>
        <v>3.7345566403801582</v>
      </c>
      <c r="H678" s="307">
        <f t="shared" ca="1" si="302"/>
        <v>-52.199785010997374</v>
      </c>
      <c r="I678" s="304">
        <f t="shared" ca="1" si="303"/>
        <v>52.333206174421932</v>
      </c>
      <c r="J678" s="306">
        <f t="shared" ca="1" si="304"/>
        <v>150.09587023194715</v>
      </c>
      <c r="K678" s="307">
        <f t="shared" ca="1" si="305"/>
        <v>-4.5615652867982686</v>
      </c>
      <c r="L678" s="304">
        <f t="shared" ca="1" si="290"/>
        <v>150.16516952526388</v>
      </c>
      <c r="M678" s="306">
        <f t="shared" ca="1" si="306"/>
        <v>-1.4993744925801036</v>
      </c>
      <c r="N678" s="304">
        <f t="shared" ca="1" si="307"/>
        <v>-85.907830334409297</v>
      </c>
      <c r="P678" s="310">
        <f t="shared" ca="1" si="308"/>
        <v>23</v>
      </c>
      <c r="Q678" s="304">
        <f t="shared" ca="1" si="309"/>
        <v>0</v>
      </c>
      <c r="R678" s="306">
        <f t="shared" ca="1" si="310"/>
        <v>0</v>
      </c>
      <c r="S678" s="307">
        <f t="shared" ca="1" si="311"/>
        <v>0.4270000000000001</v>
      </c>
      <c r="T678" s="304">
        <f t="shared" ca="1" si="291"/>
        <v>4.1888700000000014</v>
      </c>
      <c r="U678" s="311">
        <f t="shared" ca="1" si="292"/>
        <v>0</v>
      </c>
      <c r="V678" s="306">
        <f t="shared" ca="1" si="293"/>
        <v>1.2255589192249599</v>
      </c>
      <c r="W678" s="304">
        <f t="shared" ca="1" si="294"/>
        <v>3.5504947225865449</v>
      </c>
      <c r="Y678" s="314" t="str">
        <f t="shared" ca="1" si="312"/>
        <v/>
      </c>
      <c r="Z678" s="315" t="str">
        <f t="shared" ca="1" si="313"/>
        <v/>
      </c>
      <c r="AA678" s="316" t="str">
        <f t="shared" ca="1" si="314"/>
        <v/>
      </c>
      <c r="AC678" s="310" t="e">
        <f t="shared" ca="1" si="315"/>
        <v>#N/A</v>
      </c>
      <c r="AD678" s="323" t="e">
        <f t="shared" ca="1" si="316"/>
        <v>#N/A</v>
      </c>
      <c r="AE678" s="324" t="e">
        <f t="shared" ca="1" si="295"/>
        <v>#N/A</v>
      </c>
      <c r="AG678" s="306">
        <f t="shared" ca="1" si="317"/>
        <v>1.4700640317430249</v>
      </c>
      <c r="AH678" s="304">
        <f t="shared" ca="1" si="318"/>
        <v>-8.3149248764927748</v>
      </c>
    </row>
    <row r="679" spans="1:34" x14ac:dyDescent="0.3">
      <c r="A679" s="347">
        <f t="shared" ca="1" si="296"/>
        <v>1E-4</v>
      </c>
      <c r="B679" s="304">
        <f t="shared" ca="1" si="297"/>
        <v>16.133399999999884</v>
      </c>
      <c r="D679" s="306">
        <f t="shared" ca="1" si="298"/>
        <v>-0.59336606426624294</v>
      </c>
      <c r="E679" s="307">
        <f t="shared" ca="1" si="299"/>
        <v>-1.5162227273204376</v>
      </c>
      <c r="F679" s="304">
        <f t="shared" ca="1" si="300"/>
        <v>1.6281936755391961</v>
      </c>
      <c r="G679" s="306">
        <f t="shared" ca="1" si="301"/>
        <v>3.7344973037737317</v>
      </c>
      <c r="H679" s="307">
        <f t="shared" ca="1" si="302"/>
        <v>-52.199936633270106</v>
      </c>
      <c r="I679" s="304">
        <f t="shared" ca="1" si="303"/>
        <v>52.333353175860111</v>
      </c>
      <c r="J679" s="306">
        <f t="shared" ca="1" si="304"/>
        <v>150.09587023194715</v>
      </c>
      <c r="K679" s="307">
        <f t="shared" ca="1" si="305"/>
        <v>-4.5667852728804821</v>
      </c>
      <c r="L679" s="304">
        <f t="shared" ca="1" si="290"/>
        <v>150.16532818335301</v>
      </c>
      <c r="M679" s="306">
        <f t="shared" ca="1" si="306"/>
        <v>-1.499375830259855</v>
      </c>
      <c r="N679" s="304">
        <f t="shared" ca="1" si="307"/>
        <v>-85.907906977813397</v>
      </c>
      <c r="P679" s="310">
        <f t="shared" ca="1" si="308"/>
        <v>23</v>
      </c>
      <c r="Q679" s="304">
        <f t="shared" ca="1" si="309"/>
        <v>0</v>
      </c>
      <c r="R679" s="306">
        <f t="shared" ca="1" si="310"/>
        <v>0</v>
      </c>
      <c r="S679" s="307">
        <f t="shared" ca="1" si="311"/>
        <v>0.4270000000000001</v>
      </c>
      <c r="T679" s="304">
        <f t="shared" ca="1" si="291"/>
        <v>4.1888700000000014</v>
      </c>
      <c r="U679" s="311">
        <f t="shared" ca="1" si="292"/>
        <v>0</v>
      </c>
      <c r="V679" s="306">
        <f t="shared" ca="1" si="293"/>
        <v>1.22555955896521</v>
      </c>
      <c r="W679" s="304">
        <f t="shared" ca="1" si="294"/>
        <v>3.550516522313834</v>
      </c>
      <c r="Y679" s="314" t="str">
        <f t="shared" ca="1" si="312"/>
        <v/>
      </c>
      <c r="Z679" s="315" t="str">
        <f t="shared" ca="1" si="313"/>
        <v/>
      </c>
      <c r="AA679" s="316" t="str">
        <f t="shared" ca="1" si="314"/>
        <v/>
      </c>
      <c r="AC679" s="310" t="e">
        <f t="shared" ca="1" si="315"/>
        <v>#N/A</v>
      </c>
      <c r="AD679" s="323" t="e">
        <f t="shared" ca="1" si="316"/>
        <v>#N/A</v>
      </c>
      <c r="AE679" s="324" t="e">
        <f t="shared" ca="1" si="295"/>
        <v>#N/A</v>
      </c>
      <c r="AG679" s="306">
        <f t="shared" ca="1" si="317"/>
        <v>1.4700139135949488</v>
      </c>
      <c r="AH679" s="304">
        <f t="shared" ca="1" si="318"/>
        <v>-8.3149759311160274</v>
      </c>
    </row>
    <row r="680" spans="1:34" x14ac:dyDescent="0.3">
      <c r="A680" s="347">
        <f t="shared" ca="1" si="296"/>
        <v>1E-4</v>
      </c>
      <c r="B680" s="304">
        <f t="shared" ca="1" si="297"/>
        <v>16.133499999999884</v>
      </c>
      <c r="D680" s="306">
        <f t="shared" ca="1" si="298"/>
        <v>-0.59335861299544823</v>
      </c>
      <c r="E680" s="307">
        <f t="shared" ca="1" si="299"/>
        <v>-1.5161710105216244</v>
      </c>
      <c r="F680" s="304">
        <f t="shared" ca="1" si="300"/>
        <v>1.6281427998680109</v>
      </c>
      <c r="G680" s="306">
        <f t="shared" ca="1" si="301"/>
        <v>3.7344379679124322</v>
      </c>
      <c r="H680" s="307">
        <f t="shared" ca="1" si="302"/>
        <v>-52.200088250371159</v>
      </c>
      <c r="I680" s="304">
        <f t="shared" ca="1" si="303"/>
        <v>52.333500172286612</v>
      </c>
      <c r="J680" s="306">
        <f t="shared" ca="1" si="304"/>
        <v>150.09587023194715</v>
      </c>
      <c r="K680" s="307">
        <f t="shared" ca="1" si="305"/>
        <v>-4.5720052741246642</v>
      </c>
      <c r="L680" s="304">
        <f t="shared" ca="1" si="290"/>
        <v>150.16548702319099</v>
      </c>
      <c r="M680" s="306">
        <f t="shared" ca="1" si="306"/>
        <v>-1.4993771679108381</v>
      </c>
      <c r="N680" s="304">
        <f t="shared" ca="1" si="307"/>
        <v>-85.907983619569194</v>
      </c>
      <c r="P680" s="310">
        <f t="shared" ca="1" si="308"/>
        <v>23</v>
      </c>
      <c r="Q680" s="304">
        <f t="shared" ca="1" si="309"/>
        <v>0</v>
      </c>
      <c r="R680" s="306">
        <f t="shared" ca="1" si="310"/>
        <v>0</v>
      </c>
      <c r="S680" s="307">
        <f t="shared" ca="1" si="311"/>
        <v>0.4270000000000001</v>
      </c>
      <c r="T680" s="304">
        <f t="shared" ca="1" si="291"/>
        <v>4.1888700000000014</v>
      </c>
      <c r="U680" s="311">
        <f t="shared" ca="1" si="292"/>
        <v>0</v>
      </c>
      <c r="V680" s="306">
        <f t="shared" ca="1" si="293"/>
        <v>1.2255601987076525</v>
      </c>
      <c r="W680" s="304">
        <f t="shared" ca="1" si="294"/>
        <v>3.5505383214442978</v>
      </c>
      <c r="Y680" s="314" t="str">
        <f t="shared" ca="1" si="312"/>
        <v/>
      </c>
      <c r="Z680" s="315" t="str">
        <f t="shared" ca="1" si="313"/>
        <v/>
      </c>
      <c r="AA680" s="316" t="str">
        <f t="shared" ca="1" si="314"/>
        <v/>
      </c>
      <c r="AC680" s="310" t="e">
        <f t="shared" ca="1" si="315"/>
        <v>#N/A</v>
      </c>
      <c r="AD680" s="323" t="e">
        <f t="shared" ca="1" si="316"/>
        <v>#N/A</v>
      </c>
      <c r="AE680" s="324" t="e">
        <f t="shared" ca="1" si="295"/>
        <v>#N/A</v>
      </c>
      <c r="AG680" s="306">
        <f t="shared" ca="1" si="317"/>
        <v>1.4699637968069723</v>
      </c>
      <c r="AH680" s="304">
        <f t="shared" ca="1" si="318"/>
        <v>-8.3150269843415288</v>
      </c>
    </row>
    <row r="681" spans="1:34" x14ac:dyDescent="0.3">
      <c r="A681" s="347">
        <f t="shared" ca="1" si="296"/>
        <v>1E-4</v>
      </c>
      <c r="B681" s="304">
        <f t="shared" ca="1" si="297"/>
        <v>16.133599999999884</v>
      </c>
      <c r="D681" s="306">
        <f t="shared" ca="1" si="298"/>
        <v>-0.59335116172621649</v>
      </c>
      <c r="E681" s="307">
        <f t="shared" ca="1" si="299"/>
        <v>-1.5161192951391271</v>
      </c>
      <c r="F681" s="304">
        <f t="shared" ca="1" si="300"/>
        <v>1.6280919256034083</v>
      </c>
      <c r="G681" s="306">
        <f t="shared" ca="1" si="301"/>
        <v>3.7343786327962594</v>
      </c>
      <c r="H681" s="307">
        <f t="shared" ca="1" si="302"/>
        <v>-52.20023986230067</v>
      </c>
      <c r="I681" s="304">
        <f t="shared" ca="1" si="303"/>
        <v>52.333647163701571</v>
      </c>
      <c r="J681" s="306">
        <f t="shared" ca="1" si="304"/>
        <v>150.09587023194715</v>
      </c>
      <c r="K681" s="307">
        <f t="shared" ca="1" si="305"/>
        <v>-4.5772252905302979</v>
      </c>
      <c r="L681" s="304">
        <f t="shared" ca="1" si="290"/>
        <v>150.16564604477878</v>
      </c>
      <c r="M681" s="306">
        <f t="shared" ca="1" si="306"/>
        <v>-1.4993785055330535</v>
      </c>
      <c r="N681" s="304">
        <f t="shared" ca="1" si="307"/>
        <v>-85.908060259676716</v>
      </c>
      <c r="P681" s="310">
        <f t="shared" ca="1" si="308"/>
        <v>23</v>
      </c>
      <c r="Q681" s="304">
        <f t="shared" ca="1" si="309"/>
        <v>0</v>
      </c>
      <c r="R681" s="306">
        <f t="shared" ca="1" si="310"/>
        <v>0</v>
      </c>
      <c r="S681" s="307">
        <f t="shared" ca="1" si="311"/>
        <v>0.4270000000000001</v>
      </c>
      <c r="T681" s="304">
        <f t="shared" ca="1" si="291"/>
        <v>4.1888700000000014</v>
      </c>
      <c r="U681" s="311">
        <f t="shared" ca="1" si="292"/>
        <v>0</v>
      </c>
      <c r="V681" s="306">
        <f t="shared" ca="1" si="293"/>
        <v>1.2255608384522874</v>
      </c>
      <c r="W681" s="304">
        <f t="shared" ca="1" si="294"/>
        <v>3.550560119977948</v>
      </c>
      <c r="Y681" s="314" t="str">
        <f t="shared" ca="1" si="312"/>
        <v/>
      </c>
      <c r="Z681" s="315" t="str">
        <f t="shared" ca="1" si="313"/>
        <v/>
      </c>
      <c r="AA681" s="316" t="str">
        <f t="shared" ca="1" si="314"/>
        <v/>
      </c>
      <c r="AC681" s="310" t="e">
        <f t="shared" ca="1" si="315"/>
        <v>#N/A</v>
      </c>
      <c r="AD681" s="323" t="e">
        <f t="shared" ca="1" si="316"/>
        <v>#N/A</v>
      </c>
      <c r="AE681" s="324" t="e">
        <f t="shared" ca="1" si="295"/>
        <v>#N/A</v>
      </c>
      <c r="AG681" s="306">
        <f t="shared" ca="1" si="317"/>
        <v>1.4699136813790634</v>
      </c>
      <c r="AH681" s="304">
        <f t="shared" ca="1" si="318"/>
        <v>-8.3150780361693144</v>
      </c>
    </row>
    <row r="682" spans="1:34" x14ac:dyDescent="0.3">
      <c r="A682" s="347">
        <f t="shared" ca="1" si="296"/>
        <v>1E-4</v>
      </c>
      <c r="B682" s="304">
        <f t="shared" ca="1" si="297"/>
        <v>16.133699999999884</v>
      </c>
      <c r="D682" s="306">
        <f t="shared" ca="1" si="298"/>
        <v>-0.59334371045855372</v>
      </c>
      <c r="E682" s="307">
        <f t="shared" ca="1" si="299"/>
        <v>-1.5160675811729227</v>
      </c>
      <c r="F682" s="304">
        <f t="shared" ca="1" si="300"/>
        <v>1.6280410527453664</v>
      </c>
      <c r="G682" s="306">
        <f t="shared" ca="1" si="301"/>
        <v>3.7343192984252136</v>
      </c>
      <c r="H682" s="307">
        <f t="shared" ca="1" si="302"/>
        <v>-52.200391469058786</v>
      </c>
      <c r="I682" s="304">
        <f t="shared" ca="1" si="303"/>
        <v>52.333794150105113</v>
      </c>
      <c r="J682" s="306">
        <f t="shared" ca="1" si="304"/>
        <v>150.09587023194715</v>
      </c>
      <c r="K682" s="307">
        <f t="shared" ca="1" si="305"/>
        <v>-4.5824453220968655</v>
      </c>
      <c r="L682" s="304">
        <f t="shared" ca="1" si="290"/>
        <v>150.16580524811741</v>
      </c>
      <c r="M682" s="306">
        <f t="shared" ca="1" si="306"/>
        <v>-1.499379843126502</v>
      </c>
      <c r="N682" s="304">
        <f t="shared" ca="1" si="307"/>
        <v>-85.908136898136021</v>
      </c>
      <c r="P682" s="310">
        <f t="shared" ca="1" si="308"/>
        <v>23</v>
      </c>
      <c r="Q682" s="304">
        <f t="shared" ca="1" si="309"/>
        <v>0</v>
      </c>
      <c r="R682" s="306">
        <f t="shared" ca="1" si="310"/>
        <v>0</v>
      </c>
      <c r="S682" s="307">
        <f t="shared" ca="1" si="311"/>
        <v>0.4270000000000001</v>
      </c>
      <c r="T682" s="304">
        <f t="shared" ca="1" si="291"/>
        <v>4.1888700000000014</v>
      </c>
      <c r="U682" s="311">
        <f t="shared" ca="1" si="292"/>
        <v>0</v>
      </c>
      <c r="V682" s="306">
        <f t="shared" ca="1" si="293"/>
        <v>1.2255614781991142</v>
      </c>
      <c r="W682" s="304">
        <f t="shared" ca="1" si="294"/>
        <v>3.5505819179147942</v>
      </c>
      <c r="Y682" s="314" t="str">
        <f t="shared" ca="1" si="312"/>
        <v/>
      </c>
      <c r="Z682" s="315" t="str">
        <f t="shared" ca="1" si="313"/>
        <v/>
      </c>
      <c r="AA682" s="316" t="str">
        <f t="shared" ca="1" si="314"/>
        <v/>
      </c>
      <c r="AC682" s="310" t="e">
        <f t="shared" ca="1" si="315"/>
        <v>#N/A</v>
      </c>
      <c r="AD682" s="323" t="e">
        <f t="shared" ca="1" si="316"/>
        <v>#N/A</v>
      </c>
      <c r="AE682" s="324" t="e">
        <f t="shared" ca="1" si="295"/>
        <v>#N/A</v>
      </c>
      <c r="AG682" s="306">
        <f t="shared" ca="1" si="317"/>
        <v>1.4698635673112026</v>
      </c>
      <c r="AH682" s="304">
        <f t="shared" ca="1" si="318"/>
        <v>-8.3151290865994074</v>
      </c>
    </row>
    <row r="683" spans="1:34" x14ac:dyDescent="0.3">
      <c r="A683" s="347">
        <f t="shared" ca="1" si="296"/>
        <v>1E-4</v>
      </c>
      <c r="B683" s="304">
        <f t="shared" ca="1" si="297"/>
        <v>16.133799999999884</v>
      </c>
      <c r="D683" s="306">
        <f t="shared" ca="1" si="298"/>
        <v>-0.59333625919246658</v>
      </c>
      <c r="E683" s="307">
        <f t="shared" ca="1" si="299"/>
        <v>-1.5160158686229845</v>
      </c>
      <c r="F683" s="304">
        <f t="shared" ca="1" si="300"/>
        <v>1.6279901812938591</v>
      </c>
      <c r="G683" s="306">
        <f t="shared" ca="1" si="301"/>
        <v>3.7342599647992945</v>
      </c>
      <c r="H683" s="307">
        <f t="shared" ca="1" si="302"/>
        <v>-52.200543070645651</v>
      </c>
      <c r="I683" s="304">
        <f t="shared" ca="1" si="303"/>
        <v>52.33394113149739</v>
      </c>
      <c r="J683" s="306">
        <f t="shared" ca="1" si="304"/>
        <v>150.09587023194715</v>
      </c>
      <c r="K683" s="307">
        <f t="shared" ca="1" si="305"/>
        <v>-4.5876653688238509</v>
      </c>
      <c r="L683" s="304">
        <f t="shared" ca="1" si="290"/>
        <v>150.16596463320781</v>
      </c>
      <c r="M683" s="306">
        <f t="shared" ca="1" si="306"/>
        <v>-1.4993811806911848</v>
      </c>
      <c r="N683" s="304">
        <f t="shared" ca="1" si="307"/>
        <v>-85.908213534947166</v>
      </c>
      <c r="P683" s="310">
        <f t="shared" ca="1" si="308"/>
        <v>23</v>
      </c>
      <c r="Q683" s="304">
        <f t="shared" ca="1" si="309"/>
        <v>0</v>
      </c>
      <c r="R683" s="306">
        <f t="shared" ca="1" si="310"/>
        <v>0</v>
      </c>
      <c r="S683" s="307">
        <f t="shared" ca="1" si="311"/>
        <v>0.4270000000000001</v>
      </c>
      <c r="T683" s="304">
        <f t="shared" ca="1" si="291"/>
        <v>4.1888700000000014</v>
      </c>
      <c r="U683" s="311">
        <f t="shared" ca="1" si="292"/>
        <v>0</v>
      </c>
      <c r="V683" s="306">
        <f t="shared" ca="1" si="293"/>
        <v>1.2255621179481333</v>
      </c>
      <c r="W683" s="304">
        <f t="shared" ca="1" si="294"/>
        <v>3.5506037152548506</v>
      </c>
      <c r="Y683" s="314" t="str">
        <f t="shared" ca="1" si="312"/>
        <v/>
      </c>
      <c r="Z683" s="315" t="str">
        <f t="shared" ca="1" si="313"/>
        <v/>
      </c>
      <c r="AA683" s="316" t="str">
        <f t="shared" ca="1" si="314"/>
        <v/>
      </c>
      <c r="AC683" s="310" t="e">
        <f t="shared" ca="1" si="315"/>
        <v>#N/A</v>
      </c>
      <c r="AD683" s="323" t="e">
        <f t="shared" ca="1" si="316"/>
        <v>#N/A</v>
      </c>
      <c r="AE683" s="324" t="e">
        <f t="shared" ca="1" si="295"/>
        <v>#N/A</v>
      </c>
      <c r="AG683" s="306">
        <f t="shared" ca="1" si="317"/>
        <v>1.4698134546033614</v>
      </c>
      <c r="AH683" s="304">
        <f t="shared" ca="1" si="318"/>
        <v>-8.3151801356318344</v>
      </c>
    </row>
    <row r="684" spans="1:34" x14ac:dyDescent="0.3">
      <c r="A684" s="347">
        <f t="shared" ca="1" si="296"/>
        <v>1E-4</v>
      </c>
      <c r="B684" s="304">
        <f t="shared" ca="1" si="297"/>
        <v>16.133899999999883</v>
      </c>
      <c r="D684" s="306">
        <f t="shared" ca="1" si="298"/>
        <v>-0.59332880792795628</v>
      </c>
      <c r="E684" s="307">
        <f t="shared" ca="1" si="299"/>
        <v>-1.5159641574892806</v>
      </c>
      <c r="F684" s="304">
        <f t="shared" ca="1" si="300"/>
        <v>1.6279393112488543</v>
      </c>
      <c r="G684" s="306">
        <f t="shared" ca="1" si="301"/>
        <v>3.7342006319185015</v>
      </c>
      <c r="H684" s="307">
        <f t="shared" ca="1" si="302"/>
        <v>-52.200694667061398</v>
      </c>
      <c r="I684" s="304">
        <f t="shared" ca="1" si="303"/>
        <v>52.334088107878529</v>
      </c>
      <c r="J684" s="306">
        <f t="shared" ca="1" si="304"/>
        <v>150.09587023194715</v>
      </c>
      <c r="K684" s="307">
        <f t="shared" ca="1" si="305"/>
        <v>-4.5928854307107363</v>
      </c>
      <c r="L684" s="304">
        <f t="shared" ca="1" si="290"/>
        <v>150.16612420005103</v>
      </c>
      <c r="M684" s="306">
        <f t="shared" ca="1" si="306"/>
        <v>-1.4993825182271021</v>
      </c>
      <c r="N684" s="304">
        <f t="shared" ca="1" si="307"/>
        <v>-85.908290170110178</v>
      </c>
      <c r="P684" s="310">
        <f t="shared" ca="1" si="308"/>
        <v>23</v>
      </c>
      <c r="Q684" s="304">
        <f t="shared" ca="1" si="309"/>
        <v>0</v>
      </c>
      <c r="R684" s="306">
        <f t="shared" ca="1" si="310"/>
        <v>0</v>
      </c>
      <c r="S684" s="307">
        <f t="shared" ca="1" si="311"/>
        <v>0.4270000000000001</v>
      </c>
      <c r="T684" s="304">
        <f t="shared" ca="1" si="291"/>
        <v>4.1888700000000014</v>
      </c>
      <c r="U684" s="311">
        <f t="shared" ca="1" si="292"/>
        <v>0</v>
      </c>
      <c r="V684" s="306">
        <f t="shared" ca="1" si="293"/>
        <v>1.225562757699344</v>
      </c>
      <c r="W684" s="304">
        <f t="shared" ca="1" si="294"/>
        <v>3.5506255119981249</v>
      </c>
      <c r="Y684" s="314" t="str">
        <f t="shared" ca="1" si="312"/>
        <v/>
      </c>
      <c r="Z684" s="315" t="str">
        <f t="shared" ca="1" si="313"/>
        <v/>
      </c>
      <c r="AA684" s="316" t="str">
        <f t="shared" ca="1" si="314"/>
        <v/>
      </c>
      <c r="AC684" s="310" t="e">
        <f t="shared" ca="1" si="315"/>
        <v>#N/A</v>
      </c>
      <c r="AD684" s="323" t="e">
        <f t="shared" ca="1" si="316"/>
        <v>#N/A</v>
      </c>
      <c r="AE684" s="324" t="e">
        <f t="shared" ca="1" si="295"/>
        <v>#N/A</v>
      </c>
      <c r="AG684" s="306">
        <f t="shared" ca="1" si="317"/>
        <v>1.4697633432555133</v>
      </c>
      <c r="AH684" s="304">
        <f t="shared" ca="1" si="318"/>
        <v>-8.3152311832666275</v>
      </c>
    </row>
    <row r="685" spans="1:34" x14ac:dyDescent="0.3">
      <c r="A685" s="347">
        <f t="shared" ca="1" si="296"/>
        <v>1E-4</v>
      </c>
      <c r="B685" s="304">
        <f t="shared" ca="1" si="297"/>
        <v>16.133999999999883</v>
      </c>
      <c r="D685" s="306">
        <f t="shared" ca="1" si="298"/>
        <v>-0.59332135666503227</v>
      </c>
      <c r="E685" s="307">
        <f t="shared" ca="1" si="299"/>
        <v>-1.5159124477717913</v>
      </c>
      <c r="F685" s="304">
        <f t="shared" ca="1" si="300"/>
        <v>1.6278884426103339</v>
      </c>
      <c r="G685" s="306">
        <f t="shared" ca="1" si="301"/>
        <v>3.7341412997828352</v>
      </c>
      <c r="H685" s="307">
        <f t="shared" ca="1" si="302"/>
        <v>-52.200846258306179</v>
      </c>
      <c r="I685" s="304">
        <f t="shared" ca="1" si="303"/>
        <v>52.334235079248664</v>
      </c>
      <c r="J685" s="306">
        <f t="shared" ca="1" si="304"/>
        <v>150.09587023194715</v>
      </c>
      <c r="K685" s="307">
        <f t="shared" ca="1" si="305"/>
        <v>-4.5981055077570048</v>
      </c>
      <c r="L685" s="304">
        <f t="shared" ca="1" si="290"/>
        <v>150.16628394864802</v>
      </c>
      <c r="M685" s="306">
        <f t="shared" ca="1" si="306"/>
        <v>-1.4993838557342554</v>
      </c>
      <c r="N685" s="304">
        <f t="shared" ca="1" si="307"/>
        <v>-85.908366803625128</v>
      </c>
      <c r="P685" s="310">
        <f t="shared" ca="1" si="308"/>
        <v>23</v>
      </c>
      <c r="Q685" s="304">
        <f t="shared" ca="1" si="309"/>
        <v>0</v>
      </c>
      <c r="R685" s="306">
        <f t="shared" ca="1" si="310"/>
        <v>0</v>
      </c>
      <c r="S685" s="307">
        <f t="shared" ca="1" si="311"/>
        <v>0.4270000000000001</v>
      </c>
      <c r="T685" s="304">
        <f t="shared" ca="1" si="291"/>
        <v>4.1888700000000014</v>
      </c>
      <c r="U685" s="311">
        <f t="shared" ca="1" si="292"/>
        <v>0</v>
      </c>
      <c r="V685" s="306">
        <f t="shared" ca="1" si="293"/>
        <v>1.2255633974527469</v>
      </c>
      <c r="W685" s="304">
        <f t="shared" ca="1" si="294"/>
        <v>3.5506473081446335</v>
      </c>
      <c r="Y685" s="314" t="str">
        <f t="shared" ca="1" si="312"/>
        <v/>
      </c>
      <c r="Z685" s="315" t="str">
        <f t="shared" ca="1" si="313"/>
        <v/>
      </c>
      <c r="AA685" s="316" t="str">
        <f t="shared" ca="1" si="314"/>
        <v/>
      </c>
      <c r="AC685" s="310" t="e">
        <f t="shared" ca="1" si="315"/>
        <v>#N/A</v>
      </c>
      <c r="AD685" s="323" t="e">
        <f t="shared" ca="1" si="316"/>
        <v>#N/A</v>
      </c>
      <c r="AE685" s="324" t="e">
        <f t="shared" ca="1" si="295"/>
        <v>#N/A</v>
      </c>
      <c r="AG685" s="306">
        <f t="shared" ca="1" si="317"/>
        <v>1.4697132332676386</v>
      </c>
      <c r="AH685" s="304">
        <f t="shared" ca="1" si="318"/>
        <v>-8.3152822295038042</v>
      </c>
    </row>
    <row r="686" spans="1:34" x14ac:dyDescent="0.3">
      <c r="A686" s="347">
        <f t="shared" ca="1" si="296"/>
        <v>1E-4</v>
      </c>
      <c r="B686" s="304">
        <f t="shared" ca="1" si="297"/>
        <v>16.134099999999883</v>
      </c>
      <c r="D686" s="306">
        <f t="shared" ca="1" si="298"/>
        <v>-0.59331390540369611</v>
      </c>
      <c r="E686" s="307">
        <f t="shared" ca="1" si="299"/>
        <v>-1.5158607394704795</v>
      </c>
      <c r="F686" s="304">
        <f t="shared" ca="1" si="300"/>
        <v>1.6278375753782608</v>
      </c>
      <c r="G686" s="306">
        <f t="shared" ca="1" si="301"/>
        <v>3.734081968392295</v>
      </c>
      <c r="H686" s="307">
        <f t="shared" ca="1" si="302"/>
        <v>-52.200997844380126</v>
      </c>
      <c r="I686" s="304">
        <f t="shared" ca="1" si="303"/>
        <v>52.334382045607946</v>
      </c>
      <c r="J686" s="306">
        <f t="shared" ca="1" si="304"/>
        <v>150.09587023194715</v>
      </c>
      <c r="K686" s="307">
        <f t="shared" ca="1" si="305"/>
        <v>-4.6033255999621394</v>
      </c>
      <c r="L686" s="304">
        <f t="shared" ca="1" si="290"/>
        <v>150.16644387899976</v>
      </c>
      <c r="M686" s="306">
        <f t="shared" ca="1" si="306"/>
        <v>-1.4993851932126452</v>
      </c>
      <c r="N686" s="304">
        <f t="shared" ca="1" si="307"/>
        <v>-85.90844343549206</v>
      </c>
      <c r="P686" s="310">
        <f t="shared" ca="1" si="308"/>
        <v>23</v>
      </c>
      <c r="Q686" s="304">
        <f t="shared" ca="1" si="309"/>
        <v>0</v>
      </c>
      <c r="R686" s="306">
        <f t="shared" ca="1" si="310"/>
        <v>0</v>
      </c>
      <c r="S686" s="307">
        <f t="shared" ca="1" si="311"/>
        <v>0.4270000000000001</v>
      </c>
      <c r="T686" s="304">
        <f t="shared" ca="1" si="291"/>
        <v>4.1888700000000014</v>
      </c>
      <c r="U686" s="311">
        <f t="shared" ca="1" si="292"/>
        <v>0</v>
      </c>
      <c r="V686" s="306">
        <f t="shared" ca="1" si="293"/>
        <v>1.2255640372083414</v>
      </c>
      <c r="W686" s="304">
        <f t="shared" ca="1" si="294"/>
        <v>3.550669103694386</v>
      </c>
      <c r="Y686" s="314" t="str">
        <f t="shared" ca="1" si="312"/>
        <v/>
      </c>
      <c r="Z686" s="315" t="str">
        <f t="shared" ca="1" si="313"/>
        <v/>
      </c>
      <c r="AA686" s="316" t="str">
        <f t="shared" ca="1" si="314"/>
        <v/>
      </c>
      <c r="AC686" s="310" t="e">
        <f t="shared" ca="1" si="315"/>
        <v>#N/A</v>
      </c>
      <c r="AD686" s="323" t="e">
        <f t="shared" ca="1" si="316"/>
        <v>#N/A</v>
      </c>
      <c r="AE686" s="324" t="e">
        <f t="shared" ca="1" si="295"/>
        <v>#N/A</v>
      </c>
      <c r="AG686" s="306">
        <f t="shared" ca="1" si="317"/>
        <v>1.4696631246397054</v>
      </c>
      <c r="AH686" s="304">
        <f t="shared" ca="1" si="318"/>
        <v>-8.3153332743434021</v>
      </c>
    </row>
    <row r="687" spans="1:34" x14ac:dyDescent="0.3">
      <c r="A687" s="347">
        <f t="shared" ca="1" si="296"/>
        <v>1E-4</v>
      </c>
      <c r="B687" s="304">
        <f t="shared" ca="1" si="297"/>
        <v>16.134199999999883</v>
      </c>
      <c r="D687" s="306">
        <f t="shared" ca="1" si="298"/>
        <v>-0.59330645414395433</v>
      </c>
      <c r="E687" s="307">
        <f t="shared" ca="1" si="299"/>
        <v>-1.515809032585322</v>
      </c>
      <c r="F687" s="304">
        <f t="shared" ca="1" si="300"/>
        <v>1.6277867095526126</v>
      </c>
      <c r="G687" s="306">
        <f t="shared" ca="1" si="301"/>
        <v>3.7340226377468806</v>
      </c>
      <c r="H687" s="307">
        <f t="shared" ca="1" si="302"/>
        <v>-52.201149425283383</v>
      </c>
      <c r="I687" s="304">
        <f t="shared" ca="1" si="303"/>
        <v>52.334529006956487</v>
      </c>
      <c r="J687" s="306">
        <f t="shared" ca="1" si="304"/>
        <v>150.09587023194715</v>
      </c>
      <c r="K687" s="307">
        <f t="shared" ca="1" si="305"/>
        <v>-4.6085457073256224</v>
      </c>
      <c r="L687" s="304">
        <f t="shared" ca="1" si="290"/>
        <v>150.16660399110725</v>
      </c>
      <c r="M687" s="306">
        <f t="shared" ca="1" si="306"/>
        <v>-1.4993865306622722</v>
      </c>
      <c r="N687" s="304">
        <f t="shared" ca="1" si="307"/>
        <v>-85.908520065711002</v>
      </c>
      <c r="P687" s="310">
        <f t="shared" ca="1" si="308"/>
        <v>23</v>
      </c>
      <c r="Q687" s="304">
        <f t="shared" ca="1" si="309"/>
        <v>0</v>
      </c>
      <c r="R687" s="306">
        <f t="shared" ca="1" si="310"/>
        <v>0</v>
      </c>
      <c r="S687" s="307">
        <f t="shared" ca="1" si="311"/>
        <v>0.4270000000000001</v>
      </c>
      <c r="T687" s="304">
        <f t="shared" ca="1" si="291"/>
        <v>4.1888700000000014</v>
      </c>
      <c r="U687" s="311">
        <f t="shared" ca="1" si="292"/>
        <v>0</v>
      </c>
      <c r="V687" s="306">
        <f t="shared" ca="1" si="293"/>
        <v>1.2255646769661277</v>
      </c>
      <c r="W687" s="304">
        <f t="shared" ca="1" si="294"/>
        <v>3.550690898647392</v>
      </c>
      <c r="Y687" s="314" t="str">
        <f t="shared" ca="1" si="312"/>
        <v/>
      </c>
      <c r="Z687" s="315" t="str">
        <f t="shared" ca="1" si="313"/>
        <v/>
      </c>
      <c r="AA687" s="316" t="str">
        <f t="shared" ca="1" si="314"/>
        <v/>
      </c>
      <c r="AC687" s="310" t="e">
        <f t="shared" ca="1" si="315"/>
        <v>#N/A</v>
      </c>
      <c r="AD687" s="323" t="e">
        <f t="shared" ca="1" si="316"/>
        <v>#N/A</v>
      </c>
      <c r="AE687" s="324" t="e">
        <f t="shared" ca="1" si="295"/>
        <v>#N/A</v>
      </c>
      <c r="AG687" s="306">
        <f t="shared" ca="1" si="317"/>
        <v>1.4696130173716888</v>
      </c>
      <c r="AH687" s="304">
        <f t="shared" ca="1" si="318"/>
        <v>-8.3153843177854458</v>
      </c>
    </row>
    <row r="688" spans="1:34" x14ac:dyDescent="0.3">
      <c r="A688" s="347">
        <f t="shared" ca="1" si="296"/>
        <v>1E-4</v>
      </c>
      <c r="B688" s="304">
        <f t="shared" ca="1" si="297"/>
        <v>16.134299999999882</v>
      </c>
      <c r="D688" s="306">
        <f t="shared" ca="1" si="298"/>
        <v>-0.59329900288581272</v>
      </c>
      <c r="E688" s="307">
        <f t="shared" ca="1" si="299"/>
        <v>-1.5157573271162939</v>
      </c>
      <c r="F688" s="304">
        <f t="shared" ca="1" si="300"/>
        <v>1.6277358451333652</v>
      </c>
      <c r="G688" s="306">
        <f t="shared" ca="1" si="301"/>
        <v>3.7339633078465919</v>
      </c>
      <c r="H688" s="307">
        <f t="shared" ca="1" si="302"/>
        <v>-52.201301001016091</v>
      </c>
      <c r="I688" s="304">
        <f t="shared" ca="1" si="303"/>
        <v>52.334675963294437</v>
      </c>
      <c r="J688" s="306">
        <f t="shared" ca="1" si="304"/>
        <v>150.09587023194715</v>
      </c>
      <c r="K688" s="307">
        <f t="shared" ca="1" si="305"/>
        <v>-4.6137658298469377</v>
      </c>
      <c r="L688" s="304">
        <f t="shared" ca="1" si="290"/>
        <v>150.16676428497146</v>
      </c>
      <c r="M688" s="306">
        <f t="shared" ca="1" si="306"/>
        <v>-1.4993878680831374</v>
      </c>
      <c r="N688" s="304">
        <f t="shared" ca="1" si="307"/>
        <v>-85.908596694282011</v>
      </c>
      <c r="P688" s="310">
        <f t="shared" ca="1" si="308"/>
        <v>23</v>
      </c>
      <c r="Q688" s="304">
        <f t="shared" ca="1" si="309"/>
        <v>0</v>
      </c>
      <c r="R688" s="306">
        <f t="shared" ca="1" si="310"/>
        <v>0</v>
      </c>
      <c r="S688" s="307">
        <f t="shared" ca="1" si="311"/>
        <v>0.4270000000000001</v>
      </c>
      <c r="T688" s="304">
        <f t="shared" ca="1" si="291"/>
        <v>4.1888700000000014</v>
      </c>
      <c r="U688" s="311">
        <f t="shared" ca="1" si="292"/>
        <v>0</v>
      </c>
      <c r="V688" s="306">
        <f t="shared" ca="1" si="293"/>
        <v>1.225565316726106</v>
      </c>
      <c r="W688" s="304">
        <f t="shared" ca="1" si="294"/>
        <v>3.5507126930036672</v>
      </c>
      <c r="Y688" s="314" t="str">
        <f t="shared" ca="1" si="312"/>
        <v/>
      </c>
      <c r="Z688" s="315" t="str">
        <f t="shared" ca="1" si="313"/>
        <v/>
      </c>
      <c r="AA688" s="316" t="str">
        <f t="shared" ca="1" si="314"/>
        <v/>
      </c>
      <c r="AC688" s="310" t="e">
        <f t="shared" ca="1" si="315"/>
        <v>#N/A</v>
      </c>
      <c r="AD688" s="323" t="e">
        <f t="shared" ca="1" si="316"/>
        <v>#N/A</v>
      </c>
      <c r="AE688" s="324" t="e">
        <f t="shared" ca="1" si="295"/>
        <v>#N/A</v>
      </c>
      <c r="AG688" s="306">
        <f t="shared" ca="1" si="317"/>
        <v>1.4695629114635711</v>
      </c>
      <c r="AH688" s="304">
        <f t="shared" ca="1" si="318"/>
        <v>-8.3154353598299551</v>
      </c>
    </row>
    <row r="689" spans="1:34" x14ac:dyDescent="0.3">
      <c r="A689" s="347">
        <f t="shared" ca="1" si="296"/>
        <v>1E-4</v>
      </c>
      <c r="B689" s="304">
        <f t="shared" ca="1" si="297"/>
        <v>16.134399999999882</v>
      </c>
      <c r="D689" s="306">
        <f t="shared" ca="1" si="298"/>
        <v>-0.59329155162927683</v>
      </c>
      <c r="E689" s="307">
        <f t="shared" ca="1" si="299"/>
        <v>-1.5157056230633597</v>
      </c>
      <c r="F689" s="304">
        <f t="shared" ca="1" si="300"/>
        <v>1.6276849821204846</v>
      </c>
      <c r="G689" s="306">
        <f t="shared" ca="1" si="301"/>
        <v>3.733903978691429</v>
      </c>
      <c r="H689" s="307">
        <f t="shared" ca="1" si="302"/>
        <v>-52.2014525715784</v>
      </c>
      <c r="I689" s="304">
        <f t="shared" ca="1" si="303"/>
        <v>52.334822914621931</v>
      </c>
      <c r="J689" s="306">
        <f t="shared" ca="1" si="304"/>
        <v>150.09587023194715</v>
      </c>
      <c r="K689" s="307">
        <f t="shared" ca="1" si="305"/>
        <v>-4.6189859675255676</v>
      </c>
      <c r="L689" s="304">
        <f t="shared" ca="1" si="290"/>
        <v>150.16692476059339</v>
      </c>
      <c r="M689" s="306">
        <f t="shared" ca="1" si="306"/>
        <v>-1.4993892054752418</v>
      </c>
      <c r="N689" s="304">
        <f t="shared" ca="1" si="307"/>
        <v>-85.908673321205143</v>
      </c>
      <c r="P689" s="310">
        <f t="shared" ca="1" si="308"/>
        <v>23</v>
      </c>
      <c r="Q689" s="304">
        <f t="shared" ca="1" si="309"/>
        <v>0</v>
      </c>
      <c r="R689" s="306">
        <f t="shared" ca="1" si="310"/>
        <v>0</v>
      </c>
      <c r="S689" s="307">
        <f t="shared" ca="1" si="311"/>
        <v>0.4270000000000001</v>
      </c>
      <c r="T689" s="304">
        <f t="shared" ca="1" si="291"/>
        <v>4.1888700000000014</v>
      </c>
      <c r="U689" s="311">
        <f t="shared" ca="1" si="292"/>
        <v>0</v>
      </c>
      <c r="V689" s="306">
        <f t="shared" ca="1" si="293"/>
        <v>1.2255659564882759</v>
      </c>
      <c r="W689" s="304">
        <f t="shared" ca="1" si="294"/>
        <v>3.5507344867632202</v>
      </c>
      <c r="Y689" s="314" t="str">
        <f t="shared" ca="1" si="312"/>
        <v/>
      </c>
      <c r="Z689" s="315" t="str">
        <f t="shared" ca="1" si="313"/>
        <v/>
      </c>
      <c r="AA689" s="316" t="str">
        <f t="shared" ca="1" si="314"/>
        <v/>
      </c>
      <c r="AC689" s="310" t="e">
        <f t="shared" ca="1" si="315"/>
        <v>#N/A</v>
      </c>
      <c r="AD689" s="323" t="e">
        <f t="shared" ca="1" si="316"/>
        <v>#N/A</v>
      </c>
      <c r="AE689" s="324" t="e">
        <f t="shared" ca="1" si="295"/>
        <v>#N/A</v>
      </c>
      <c r="AG689" s="306">
        <f t="shared" ca="1" si="317"/>
        <v>1.4695128069153114</v>
      </c>
      <c r="AH689" s="304">
        <f t="shared" ca="1" si="318"/>
        <v>-8.3154864004769706</v>
      </c>
    </row>
    <row r="690" spans="1:34" x14ac:dyDescent="0.3">
      <c r="A690" s="347">
        <f t="shared" ca="1" si="296"/>
        <v>1E-4</v>
      </c>
      <c r="B690" s="304">
        <f t="shared" ca="1" si="297"/>
        <v>16.134499999999882</v>
      </c>
      <c r="D690" s="306">
        <f t="shared" ca="1" si="298"/>
        <v>-0.59328410037434876</v>
      </c>
      <c r="E690" s="307">
        <f t="shared" ca="1" si="299"/>
        <v>-1.5156539204264998</v>
      </c>
      <c r="F690" s="304">
        <f t="shared" ca="1" si="300"/>
        <v>1.62763412051395</v>
      </c>
      <c r="G690" s="306">
        <f t="shared" ca="1" si="301"/>
        <v>3.7338446502813913</v>
      </c>
      <c r="H690" s="307">
        <f t="shared" ca="1" si="302"/>
        <v>-52.201604136970445</v>
      </c>
      <c r="I690" s="304">
        <f t="shared" ca="1" si="303"/>
        <v>52.334969860939111</v>
      </c>
      <c r="J690" s="306">
        <f t="shared" ca="1" si="304"/>
        <v>150.09587023194715</v>
      </c>
      <c r="K690" s="307">
        <f t="shared" ca="1" si="305"/>
        <v>-4.624206120360995</v>
      </c>
      <c r="L690" s="304">
        <f t="shared" ca="1" si="290"/>
        <v>150.16708541797399</v>
      </c>
      <c r="M690" s="306">
        <f t="shared" ca="1" si="306"/>
        <v>-1.4993905428385859</v>
      </c>
      <c r="N690" s="304">
        <f t="shared" ca="1" si="307"/>
        <v>-85.908749946480427</v>
      </c>
      <c r="P690" s="310">
        <f t="shared" ca="1" si="308"/>
        <v>23</v>
      </c>
      <c r="Q690" s="304">
        <f t="shared" ca="1" si="309"/>
        <v>0</v>
      </c>
      <c r="R690" s="306">
        <f t="shared" ca="1" si="310"/>
        <v>0</v>
      </c>
      <c r="S690" s="307">
        <f t="shared" ca="1" si="311"/>
        <v>0.4270000000000001</v>
      </c>
      <c r="T690" s="304">
        <f t="shared" ca="1" si="291"/>
        <v>4.1888700000000014</v>
      </c>
      <c r="U690" s="311">
        <f t="shared" ca="1" si="292"/>
        <v>0</v>
      </c>
      <c r="V690" s="306">
        <f t="shared" ca="1" si="293"/>
        <v>1.225566596252637</v>
      </c>
      <c r="W690" s="304">
        <f t="shared" ca="1" si="294"/>
        <v>3.5507562799260635</v>
      </c>
      <c r="Y690" s="314" t="str">
        <f t="shared" ca="1" si="312"/>
        <v/>
      </c>
      <c r="Z690" s="315" t="str">
        <f t="shared" ca="1" si="313"/>
        <v/>
      </c>
      <c r="AA690" s="316" t="str">
        <f t="shared" ca="1" si="314"/>
        <v/>
      </c>
      <c r="AC690" s="310" t="e">
        <f t="shared" ca="1" si="315"/>
        <v>#N/A</v>
      </c>
      <c r="AD690" s="323" t="e">
        <f t="shared" ca="1" si="316"/>
        <v>#N/A</v>
      </c>
      <c r="AE690" s="324" t="e">
        <f t="shared" ca="1" si="295"/>
        <v>#N/A</v>
      </c>
      <c r="AG690" s="306">
        <f t="shared" ca="1" si="317"/>
        <v>1.4694627037268972</v>
      </c>
      <c r="AH690" s="304">
        <f t="shared" ca="1" si="318"/>
        <v>-8.3155374397265085</v>
      </c>
    </row>
    <row r="691" spans="1:34" x14ac:dyDescent="0.3">
      <c r="A691" s="347">
        <f t="shared" ca="1" si="296"/>
        <v>1E-4</v>
      </c>
      <c r="B691" s="304">
        <f t="shared" ca="1" si="297"/>
        <v>16.134599999999882</v>
      </c>
      <c r="D691" s="306">
        <f t="shared" ca="1" si="298"/>
        <v>-0.59327664912103717</v>
      </c>
      <c r="E691" s="307">
        <f t="shared" ca="1" si="299"/>
        <v>-1.5156022192056824</v>
      </c>
      <c r="F691" s="304">
        <f t="shared" ca="1" si="300"/>
        <v>1.6275832603137315</v>
      </c>
      <c r="G691" s="306">
        <f t="shared" ca="1" si="301"/>
        <v>3.7337853226164794</v>
      </c>
      <c r="H691" s="307">
        <f t="shared" ca="1" si="302"/>
        <v>-52.201755697192368</v>
      </c>
      <c r="I691" s="304">
        <f t="shared" ca="1" si="303"/>
        <v>52.335116802246098</v>
      </c>
      <c r="J691" s="306">
        <f t="shared" ca="1" si="304"/>
        <v>150.09587023194715</v>
      </c>
      <c r="K691" s="307">
        <f t="shared" ca="1" si="305"/>
        <v>-4.6294262883527031</v>
      </c>
      <c r="L691" s="304">
        <f t="shared" ca="1" si="290"/>
        <v>150.1672462571143</v>
      </c>
      <c r="M691" s="306">
        <f t="shared" ca="1" si="306"/>
        <v>-1.4993918801731705</v>
      </c>
      <c r="N691" s="304">
        <f t="shared" ca="1" si="307"/>
        <v>-85.908826570107934</v>
      </c>
      <c r="P691" s="310">
        <f t="shared" ca="1" si="308"/>
        <v>23</v>
      </c>
      <c r="Q691" s="304">
        <f t="shared" ca="1" si="309"/>
        <v>0</v>
      </c>
      <c r="R691" s="306">
        <f t="shared" ca="1" si="310"/>
        <v>0</v>
      </c>
      <c r="S691" s="307">
        <f t="shared" ca="1" si="311"/>
        <v>0.4270000000000001</v>
      </c>
      <c r="T691" s="304">
        <f t="shared" ca="1" si="291"/>
        <v>4.1888700000000014</v>
      </c>
      <c r="U691" s="311">
        <f t="shared" ca="1" si="292"/>
        <v>0</v>
      </c>
      <c r="V691" s="306">
        <f t="shared" ca="1" si="293"/>
        <v>1.2255672360191903</v>
      </c>
      <c r="W691" s="304">
        <f t="shared" ca="1" si="294"/>
        <v>3.5507780724922098</v>
      </c>
      <c r="Y691" s="314" t="str">
        <f t="shared" ca="1" si="312"/>
        <v/>
      </c>
      <c r="Z691" s="315" t="str">
        <f t="shared" ca="1" si="313"/>
        <v/>
      </c>
      <c r="AA691" s="316" t="str">
        <f t="shared" ca="1" si="314"/>
        <v/>
      </c>
      <c r="AC691" s="310" t="e">
        <f t="shared" ca="1" si="315"/>
        <v>#N/A</v>
      </c>
      <c r="AD691" s="323" t="e">
        <f t="shared" ca="1" si="316"/>
        <v>#N/A</v>
      </c>
      <c r="AE691" s="324" t="e">
        <f t="shared" ca="1" si="295"/>
        <v>#N/A</v>
      </c>
      <c r="AG691" s="306">
        <f t="shared" ca="1" si="317"/>
        <v>1.4694126018982985</v>
      </c>
      <c r="AH691" s="304">
        <f t="shared" ca="1" si="318"/>
        <v>-8.3155884775786006</v>
      </c>
    </row>
    <row r="692" spans="1:34" x14ac:dyDescent="0.3">
      <c r="A692" s="347">
        <f t="shared" ca="1" si="296"/>
        <v>1E-4</v>
      </c>
      <c r="B692" s="304">
        <f t="shared" ca="1" si="297"/>
        <v>16.134699999999881</v>
      </c>
      <c r="D692" s="306">
        <f t="shared" ca="1" si="298"/>
        <v>-0.59326919786934673</v>
      </c>
      <c r="E692" s="307">
        <f t="shared" ca="1" si="299"/>
        <v>-1.5155505194008789</v>
      </c>
      <c r="F692" s="304">
        <f t="shared" ca="1" si="300"/>
        <v>1.6275324015198016</v>
      </c>
      <c r="G692" s="306">
        <f t="shared" ca="1" si="301"/>
        <v>3.7337259956966924</v>
      </c>
      <c r="H692" s="307">
        <f t="shared" ca="1" si="302"/>
        <v>-52.201907252244311</v>
      </c>
      <c r="I692" s="304">
        <f t="shared" ca="1" si="303"/>
        <v>52.335263738543048</v>
      </c>
      <c r="J692" s="306">
        <f t="shared" ca="1" si="304"/>
        <v>150.09587023194715</v>
      </c>
      <c r="K692" s="307">
        <f t="shared" ca="1" si="305"/>
        <v>-4.6346464715001749</v>
      </c>
      <c r="L692" s="304">
        <f t="shared" ca="1" si="290"/>
        <v>150.16740727801525</v>
      </c>
      <c r="M692" s="306">
        <f t="shared" ca="1" si="306"/>
        <v>-1.4993932174789968</v>
      </c>
      <c r="N692" s="304">
        <f t="shared" ca="1" si="307"/>
        <v>-85.908903192087692</v>
      </c>
      <c r="P692" s="310">
        <f t="shared" ca="1" si="308"/>
        <v>23</v>
      </c>
      <c r="Q692" s="304">
        <f t="shared" ca="1" si="309"/>
        <v>0</v>
      </c>
      <c r="R692" s="306">
        <f t="shared" ca="1" si="310"/>
        <v>0</v>
      </c>
      <c r="S692" s="307">
        <f t="shared" ca="1" si="311"/>
        <v>0.4270000000000001</v>
      </c>
      <c r="T692" s="304">
        <f t="shared" ca="1" si="291"/>
        <v>4.1888700000000014</v>
      </c>
      <c r="U692" s="311">
        <f t="shared" ca="1" si="292"/>
        <v>0</v>
      </c>
      <c r="V692" s="306">
        <f t="shared" ca="1" si="293"/>
        <v>1.2255678757879345</v>
      </c>
      <c r="W692" s="304">
        <f t="shared" ca="1" si="294"/>
        <v>3.5507998644616707</v>
      </c>
      <c r="Y692" s="314" t="str">
        <f t="shared" ca="1" si="312"/>
        <v/>
      </c>
      <c r="Z692" s="315" t="str">
        <f t="shared" ca="1" si="313"/>
        <v/>
      </c>
      <c r="AA692" s="316" t="str">
        <f t="shared" ca="1" si="314"/>
        <v/>
      </c>
      <c r="AC692" s="310" t="e">
        <f t="shared" ca="1" si="315"/>
        <v>#N/A</v>
      </c>
      <c r="AD692" s="323" t="e">
        <f t="shared" ca="1" si="316"/>
        <v>#N/A</v>
      </c>
      <c r="AE692" s="324" t="e">
        <f t="shared" ca="1" si="295"/>
        <v>#N/A</v>
      </c>
      <c r="AG692" s="306">
        <f t="shared" ca="1" si="317"/>
        <v>1.4693625014294867</v>
      </c>
      <c r="AH692" s="304">
        <f t="shared" ca="1" si="318"/>
        <v>-8.3156395140332755</v>
      </c>
    </row>
    <row r="693" spans="1:34" x14ac:dyDescent="0.3">
      <c r="A693" s="347">
        <f t="shared" ca="1" si="296"/>
        <v>1E-4</v>
      </c>
      <c r="B693" s="304">
        <f t="shared" ca="1" si="297"/>
        <v>16.134799999999881</v>
      </c>
      <c r="D693" s="306">
        <f t="shared" ca="1" si="298"/>
        <v>-0.59326174661928033</v>
      </c>
      <c r="E693" s="307">
        <f t="shared" ca="1" si="299"/>
        <v>-1.515498821012061</v>
      </c>
      <c r="F693" s="304">
        <f t="shared" ca="1" si="300"/>
        <v>1.6274815441321311</v>
      </c>
      <c r="G693" s="306">
        <f t="shared" ca="1" si="301"/>
        <v>3.7336666695220306</v>
      </c>
      <c r="H693" s="307">
        <f t="shared" ca="1" si="302"/>
        <v>-52.202058802126409</v>
      </c>
      <c r="I693" s="304">
        <f t="shared" ca="1" si="303"/>
        <v>52.335410669830075</v>
      </c>
      <c r="J693" s="306">
        <f t="shared" ca="1" si="304"/>
        <v>150.09587023194715</v>
      </c>
      <c r="K693" s="307">
        <f t="shared" ca="1" si="305"/>
        <v>-4.6398666698028936</v>
      </c>
      <c r="L693" s="304">
        <f t="shared" ca="1" si="290"/>
        <v>150.16756848067783</v>
      </c>
      <c r="M693" s="306">
        <f t="shared" ca="1" si="306"/>
        <v>-1.4993945547560652</v>
      </c>
      <c r="N693" s="304">
        <f t="shared" ca="1" si="307"/>
        <v>-85.908979812419759</v>
      </c>
      <c r="P693" s="310">
        <f t="shared" ca="1" si="308"/>
        <v>23</v>
      </c>
      <c r="Q693" s="304">
        <f t="shared" ca="1" si="309"/>
        <v>0</v>
      </c>
      <c r="R693" s="306">
        <f t="shared" ca="1" si="310"/>
        <v>0</v>
      </c>
      <c r="S693" s="307">
        <f t="shared" ca="1" si="311"/>
        <v>0.4270000000000001</v>
      </c>
      <c r="T693" s="304">
        <f t="shared" ca="1" si="291"/>
        <v>4.1888700000000014</v>
      </c>
      <c r="U693" s="311">
        <f t="shared" ca="1" si="292"/>
        <v>0</v>
      </c>
      <c r="V693" s="306">
        <f t="shared" ca="1" si="293"/>
        <v>1.2255685155588707</v>
      </c>
      <c r="W693" s="304">
        <f t="shared" ca="1" si="294"/>
        <v>3.5508216558344565</v>
      </c>
      <c r="Y693" s="314" t="str">
        <f t="shared" ca="1" si="312"/>
        <v/>
      </c>
      <c r="Z693" s="315" t="str">
        <f t="shared" ca="1" si="313"/>
        <v/>
      </c>
      <c r="AA693" s="316" t="str">
        <f t="shared" ca="1" si="314"/>
        <v/>
      </c>
      <c r="AC693" s="310" t="e">
        <f t="shared" ca="1" si="315"/>
        <v>#N/A</v>
      </c>
      <c r="AD693" s="323" t="e">
        <f t="shared" ca="1" si="316"/>
        <v>#N/A</v>
      </c>
      <c r="AE693" s="324" t="e">
        <f t="shared" ca="1" si="295"/>
        <v>#N/A</v>
      </c>
      <c r="AG693" s="306">
        <f t="shared" ca="1" si="317"/>
        <v>1.4693124023204369</v>
      </c>
      <c r="AH693" s="304">
        <f t="shared" ca="1" si="318"/>
        <v>-8.3156905490905615</v>
      </c>
    </row>
    <row r="694" spans="1:34" x14ac:dyDescent="0.3">
      <c r="A694" s="347">
        <f t="shared" ca="1" si="296"/>
        <v>1E-4</v>
      </c>
      <c r="B694" s="304">
        <f t="shared" ca="1" si="297"/>
        <v>16.134899999999881</v>
      </c>
      <c r="D694" s="306">
        <f t="shared" ca="1" si="298"/>
        <v>-0.59325429537084584</v>
      </c>
      <c r="E694" s="307">
        <f t="shared" ca="1" si="299"/>
        <v>-1.5154471240392038</v>
      </c>
      <c r="F694" s="304">
        <f t="shared" ca="1" si="300"/>
        <v>1.6274306881506975</v>
      </c>
      <c r="G694" s="306">
        <f t="shared" ca="1" si="301"/>
        <v>3.7336073440924937</v>
      </c>
      <c r="H694" s="307">
        <f t="shared" ca="1" si="302"/>
        <v>-52.202210346838811</v>
      </c>
      <c r="I694" s="304">
        <f t="shared" ca="1" si="303"/>
        <v>52.335557596107314</v>
      </c>
      <c r="J694" s="306">
        <f t="shared" ca="1" si="304"/>
        <v>150.09587023194715</v>
      </c>
      <c r="K694" s="307">
        <f t="shared" ca="1" si="305"/>
        <v>-4.6450868832603422</v>
      </c>
      <c r="L694" s="304">
        <f t="shared" ca="1" si="290"/>
        <v>150.16772986510301</v>
      </c>
      <c r="M694" s="306">
        <f t="shared" ca="1" si="306"/>
        <v>-1.4993958920043768</v>
      </c>
      <c r="N694" s="304">
        <f t="shared" ca="1" si="307"/>
        <v>-85.909056431104176</v>
      </c>
      <c r="P694" s="310">
        <f t="shared" ca="1" si="308"/>
        <v>23</v>
      </c>
      <c r="Q694" s="304">
        <f t="shared" ca="1" si="309"/>
        <v>0</v>
      </c>
      <c r="R694" s="306">
        <f t="shared" ca="1" si="310"/>
        <v>0</v>
      </c>
      <c r="S694" s="307">
        <f t="shared" ca="1" si="311"/>
        <v>0.4270000000000001</v>
      </c>
      <c r="T694" s="304">
        <f t="shared" ca="1" si="291"/>
        <v>4.1888700000000014</v>
      </c>
      <c r="U694" s="311">
        <f t="shared" ca="1" si="292"/>
        <v>0</v>
      </c>
      <c r="V694" s="306">
        <f t="shared" ca="1" si="293"/>
        <v>1.2255691553319978</v>
      </c>
      <c r="W694" s="304">
        <f t="shared" ca="1" si="294"/>
        <v>3.5508434466105769</v>
      </c>
      <c r="Y694" s="314" t="str">
        <f t="shared" ca="1" si="312"/>
        <v/>
      </c>
      <c r="Z694" s="315" t="str">
        <f t="shared" ca="1" si="313"/>
        <v/>
      </c>
      <c r="AA694" s="316" t="str">
        <f t="shared" ca="1" si="314"/>
        <v/>
      </c>
      <c r="AC694" s="310" t="e">
        <f t="shared" ca="1" si="315"/>
        <v>#N/A</v>
      </c>
      <c r="AD694" s="323" t="e">
        <f t="shared" ca="1" si="316"/>
        <v>#N/A</v>
      </c>
      <c r="AE694" s="324" t="e">
        <f t="shared" ca="1" si="295"/>
        <v>#N/A</v>
      </c>
      <c r="AG694" s="306">
        <f t="shared" ca="1" si="317"/>
        <v>1.4692623045711279</v>
      </c>
      <c r="AH694" s="304">
        <f t="shared" ca="1" si="318"/>
        <v>-8.3157415827504817</v>
      </c>
    </row>
    <row r="695" spans="1:34" x14ac:dyDescent="0.3">
      <c r="A695" s="347">
        <f t="shared" ca="1" si="296"/>
        <v>1E-4</v>
      </c>
      <c r="B695" s="304">
        <f t="shared" ca="1" si="297"/>
        <v>16.134999999999881</v>
      </c>
      <c r="D695" s="306">
        <f t="shared" ca="1" si="298"/>
        <v>-0.59324684412404605</v>
      </c>
      <c r="E695" s="307">
        <f t="shared" ca="1" si="299"/>
        <v>-1.5153954284822841</v>
      </c>
      <c r="F695" s="304">
        <f t="shared" ca="1" si="300"/>
        <v>1.6273798335754766</v>
      </c>
      <c r="G695" s="306">
        <f t="shared" ca="1" si="301"/>
        <v>3.7335480194080812</v>
      </c>
      <c r="H695" s="307">
        <f t="shared" ca="1" si="302"/>
        <v>-52.202361886381659</v>
      </c>
      <c r="I695" s="304">
        <f t="shared" ca="1" si="303"/>
        <v>52.335704517374928</v>
      </c>
      <c r="J695" s="306">
        <f t="shared" ca="1" si="304"/>
        <v>150.09587023194715</v>
      </c>
      <c r="K695" s="307">
        <f t="shared" ca="1" si="305"/>
        <v>-4.650307111872003</v>
      </c>
      <c r="L695" s="304">
        <f t="shared" ca="1" si="290"/>
        <v>150.16789143129179</v>
      </c>
      <c r="M695" s="306">
        <f t="shared" ca="1" si="306"/>
        <v>-1.4993972292239326</v>
      </c>
      <c r="N695" s="304">
        <f t="shared" ca="1" si="307"/>
        <v>-85.909133048141001</v>
      </c>
      <c r="P695" s="310">
        <f t="shared" ca="1" si="308"/>
        <v>23</v>
      </c>
      <c r="Q695" s="304">
        <f t="shared" ca="1" si="309"/>
        <v>0</v>
      </c>
      <c r="R695" s="306">
        <f t="shared" ca="1" si="310"/>
        <v>0</v>
      </c>
      <c r="S695" s="307">
        <f t="shared" ca="1" si="311"/>
        <v>0.4270000000000001</v>
      </c>
      <c r="T695" s="304">
        <f t="shared" ca="1" si="291"/>
        <v>4.1888700000000014</v>
      </c>
      <c r="U695" s="311">
        <f t="shared" ca="1" si="292"/>
        <v>0</v>
      </c>
      <c r="V695" s="306">
        <f t="shared" ca="1" si="293"/>
        <v>1.2255697951073163</v>
      </c>
      <c r="W695" s="304">
        <f t="shared" ca="1" si="294"/>
        <v>3.5508652367900488</v>
      </c>
      <c r="Y695" s="314" t="str">
        <f t="shared" ca="1" si="312"/>
        <v/>
      </c>
      <c r="Z695" s="315" t="str">
        <f t="shared" ca="1" si="313"/>
        <v/>
      </c>
      <c r="AA695" s="316" t="str">
        <f t="shared" ca="1" si="314"/>
        <v/>
      </c>
      <c r="AC695" s="310" t="e">
        <f t="shared" ca="1" si="315"/>
        <v>#N/A</v>
      </c>
      <c r="AD695" s="323" t="e">
        <f t="shared" ca="1" si="316"/>
        <v>#N/A</v>
      </c>
      <c r="AE695" s="324" t="e">
        <f t="shared" ca="1" si="295"/>
        <v>#N/A</v>
      </c>
      <c r="AG695" s="306">
        <f t="shared" ca="1" si="317"/>
        <v>1.4692122081815384</v>
      </c>
      <c r="AH695" s="304">
        <f t="shared" ca="1" si="318"/>
        <v>-8.3157926150130592</v>
      </c>
    </row>
    <row r="696" spans="1:34" x14ac:dyDescent="0.3">
      <c r="A696" s="347">
        <f t="shared" ca="1" si="296"/>
        <v>1E-4</v>
      </c>
      <c r="B696" s="304">
        <f t="shared" ca="1" si="297"/>
        <v>16.135099999999881</v>
      </c>
      <c r="D696" s="306">
        <f t="shared" ca="1" si="298"/>
        <v>-0.59323939287888605</v>
      </c>
      <c r="E696" s="307">
        <f t="shared" ca="1" si="299"/>
        <v>-1.5153437343412648</v>
      </c>
      <c r="F696" s="304">
        <f t="shared" ca="1" si="300"/>
        <v>1.6273289804064326</v>
      </c>
      <c r="G696" s="306">
        <f t="shared" ca="1" si="301"/>
        <v>3.7334886954687931</v>
      </c>
      <c r="H696" s="307">
        <f t="shared" ca="1" si="302"/>
        <v>-52.202513420755096</v>
      </c>
      <c r="I696" s="304">
        <f t="shared" ca="1" si="303"/>
        <v>52.335851433633039</v>
      </c>
      <c r="J696" s="306">
        <f t="shared" ca="1" si="304"/>
        <v>150.09587023194715</v>
      </c>
      <c r="K696" s="307">
        <f t="shared" ca="1" si="305"/>
        <v>-4.6555273556373598</v>
      </c>
      <c r="L696" s="304">
        <f t="shared" ca="1" si="290"/>
        <v>150.16805317924516</v>
      </c>
      <c r="M696" s="306">
        <f t="shared" ca="1" si="306"/>
        <v>-1.4993985664147329</v>
      </c>
      <c r="N696" s="304">
        <f t="shared" ca="1" si="307"/>
        <v>-85.909209663530262</v>
      </c>
      <c r="P696" s="310">
        <f t="shared" ca="1" si="308"/>
        <v>23</v>
      </c>
      <c r="Q696" s="304">
        <f t="shared" ca="1" si="309"/>
        <v>0</v>
      </c>
      <c r="R696" s="306">
        <f t="shared" ca="1" si="310"/>
        <v>0</v>
      </c>
      <c r="S696" s="307">
        <f t="shared" ca="1" si="311"/>
        <v>0.4270000000000001</v>
      </c>
      <c r="T696" s="304">
        <f t="shared" ca="1" si="291"/>
        <v>4.1888700000000014</v>
      </c>
      <c r="U696" s="311">
        <f t="shared" ca="1" si="292"/>
        <v>0</v>
      </c>
      <c r="V696" s="306">
        <f t="shared" ca="1" si="293"/>
        <v>1.2255704348848262</v>
      </c>
      <c r="W696" s="304">
        <f t="shared" ca="1" si="294"/>
        <v>3.5508870263728816</v>
      </c>
      <c r="Y696" s="314" t="str">
        <f t="shared" ca="1" si="312"/>
        <v/>
      </c>
      <c r="Z696" s="315" t="str">
        <f t="shared" ca="1" si="313"/>
        <v/>
      </c>
      <c r="AA696" s="316" t="str">
        <f t="shared" ca="1" si="314"/>
        <v/>
      </c>
      <c r="AC696" s="310" t="e">
        <f t="shared" ca="1" si="315"/>
        <v>#N/A</v>
      </c>
      <c r="AD696" s="323" t="e">
        <f t="shared" ca="1" si="316"/>
        <v>#N/A</v>
      </c>
      <c r="AE696" s="324" t="e">
        <f t="shared" ca="1" si="295"/>
        <v>#N/A</v>
      </c>
      <c r="AG696" s="306">
        <f t="shared" ca="1" si="317"/>
        <v>1.4691621131516293</v>
      </c>
      <c r="AH696" s="304">
        <f t="shared" ca="1" si="318"/>
        <v>-8.3158436458783331</v>
      </c>
    </row>
    <row r="697" spans="1:34" x14ac:dyDescent="0.3">
      <c r="A697" s="347">
        <f t="shared" ca="1" si="296"/>
        <v>1E-4</v>
      </c>
      <c r="B697" s="304">
        <f t="shared" ca="1" si="297"/>
        <v>16.13519999999988</v>
      </c>
      <c r="D697" s="306">
        <f t="shared" ca="1" si="298"/>
        <v>-0.59323194163537407</v>
      </c>
      <c r="E697" s="307">
        <f t="shared" ca="1" si="299"/>
        <v>-1.5152920416161209</v>
      </c>
      <c r="F697" s="304">
        <f t="shared" ca="1" si="300"/>
        <v>1.6272781286435418</v>
      </c>
      <c r="G697" s="306">
        <f t="shared" ca="1" si="301"/>
        <v>3.7334293722746295</v>
      </c>
      <c r="H697" s="307">
        <f t="shared" ca="1" si="302"/>
        <v>-52.202664949959257</v>
      </c>
      <c r="I697" s="304">
        <f t="shared" ca="1" si="303"/>
        <v>52.335998344881773</v>
      </c>
      <c r="J697" s="306">
        <f t="shared" ca="1" si="304"/>
        <v>150.09587023194715</v>
      </c>
      <c r="K697" s="307">
        <f t="shared" ca="1" si="305"/>
        <v>-4.6607476145558957</v>
      </c>
      <c r="L697" s="304">
        <f t="shared" ca="1" si="290"/>
        <v>150.16821510896406</v>
      </c>
      <c r="M697" s="306">
        <f t="shared" ca="1" si="306"/>
        <v>-1.4993999035767789</v>
      </c>
      <c r="N697" s="304">
        <f t="shared" ca="1" si="307"/>
        <v>-85.909286277272017</v>
      </c>
      <c r="P697" s="310">
        <f t="shared" ca="1" si="308"/>
        <v>23</v>
      </c>
      <c r="Q697" s="304">
        <f t="shared" ca="1" si="309"/>
        <v>0</v>
      </c>
      <c r="R697" s="306">
        <f t="shared" ca="1" si="310"/>
        <v>0</v>
      </c>
      <c r="S697" s="307">
        <f t="shared" ca="1" si="311"/>
        <v>0.4270000000000001</v>
      </c>
      <c r="T697" s="304">
        <f t="shared" ca="1" si="291"/>
        <v>4.1888700000000014</v>
      </c>
      <c r="U697" s="311">
        <f t="shared" ca="1" si="292"/>
        <v>0</v>
      </c>
      <c r="V697" s="306">
        <f t="shared" ca="1" si="293"/>
        <v>1.225571074664527</v>
      </c>
      <c r="W697" s="304">
        <f t="shared" ca="1" si="294"/>
        <v>3.550908815359084</v>
      </c>
      <c r="Y697" s="314" t="str">
        <f t="shared" ca="1" si="312"/>
        <v/>
      </c>
      <c r="Z697" s="315" t="str">
        <f t="shared" ca="1" si="313"/>
        <v/>
      </c>
      <c r="AA697" s="316" t="str">
        <f t="shared" ca="1" si="314"/>
        <v/>
      </c>
      <c r="AC697" s="310" t="e">
        <f t="shared" ca="1" si="315"/>
        <v>#N/A</v>
      </c>
      <c r="AD697" s="323" t="e">
        <f t="shared" ca="1" si="316"/>
        <v>#N/A</v>
      </c>
      <c r="AE697" s="324" t="e">
        <f t="shared" ca="1" si="295"/>
        <v>#N/A</v>
      </c>
      <c r="AG697" s="306">
        <f t="shared" ca="1" si="317"/>
        <v>1.4691120194813845</v>
      </c>
      <c r="AH697" s="304">
        <f t="shared" ca="1" si="318"/>
        <v>-8.3158946753463248</v>
      </c>
    </row>
    <row r="698" spans="1:34" x14ac:dyDescent="0.3">
      <c r="A698" s="347">
        <f t="shared" ca="1" si="296"/>
        <v>1E-4</v>
      </c>
      <c r="B698" s="304">
        <f t="shared" ca="1" si="297"/>
        <v>16.13529999999988</v>
      </c>
      <c r="D698" s="306">
        <f t="shared" ca="1" si="298"/>
        <v>-0.59322449039351255</v>
      </c>
      <c r="E698" s="307">
        <f t="shared" ca="1" si="299"/>
        <v>-1.5152403503068292</v>
      </c>
      <c r="F698" s="304">
        <f t="shared" ca="1" si="300"/>
        <v>1.6272272782867812</v>
      </c>
      <c r="G698" s="306">
        <f t="shared" ca="1" si="301"/>
        <v>3.7333700498255902</v>
      </c>
      <c r="H698" s="307">
        <f t="shared" ca="1" si="302"/>
        <v>-52.202816473994289</v>
      </c>
      <c r="I698" s="304">
        <f t="shared" ca="1" si="303"/>
        <v>52.33614525112128</v>
      </c>
      <c r="J698" s="306">
        <f t="shared" ca="1" si="304"/>
        <v>150.09587023194715</v>
      </c>
      <c r="K698" s="307">
        <f t="shared" ca="1" si="305"/>
        <v>-4.665967888627093</v>
      </c>
      <c r="L698" s="304">
        <f t="shared" ca="1" si="290"/>
        <v>150.16837722044949</v>
      </c>
      <c r="M698" s="306">
        <f t="shared" ca="1" si="306"/>
        <v>-1.4994012407100712</v>
      </c>
      <c r="N698" s="304">
        <f t="shared" ca="1" si="307"/>
        <v>-85.909362889366307</v>
      </c>
      <c r="P698" s="310">
        <f t="shared" ca="1" si="308"/>
        <v>23</v>
      </c>
      <c r="Q698" s="304">
        <f t="shared" ca="1" si="309"/>
        <v>0</v>
      </c>
      <c r="R698" s="306">
        <f t="shared" ca="1" si="310"/>
        <v>0</v>
      </c>
      <c r="S698" s="307">
        <f t="shared" ca="1" si="311"/>
        <v>0.4270000000000001</v>
      </c>
      <c r="T698" s="304">
        <f t="shared" ca="1" si="291"/>
        <v>4.1888700000000014</v>
      </c>
      <c r="U698" s="311">
        <f t="shared" ca="1" si="292"/>
        <v>0</v>
      </c>
      <c r="V698" s="306">
        <f t="shared" ca="1" si="293"/>
        <v>1.2255717144464195</v>
      </c>
      <c r="W698" s="304">
        <f t="shared" ca="1" si="294"/>
        <v>3.5509306037486748</v>
      </c>
      <c r="Y698" s="314" t="str">
        <f t="shared" ca="1" si="312"/>
        <v/>
      </c>
      <c r="Z698" s="315" t="str">
        <f t="shared" ca="1" si="313"/>
        <v/>
      </c>
      <c r="AA698" s="316" t="str">
        <f t="shared" ca="1" si="314"/>
        <v/>
      </c>
      <c r="AC698" s="310" t="e">
        <f t="shared" ca="1" si="315"/>
        <v>#N/A</v>
      </c>
      <c r="AD698" s="323" t="e">
        <f t="shared" ca="1" si="316"/>
        <v>#N/A</v>
      </c>
      <c r="AE698" s="324" t="e">
        <f t="shared" ca="1" si="295"/>
        <v>#N/A</v>
      </c>
      <c r="AG698" s="306">
        <f t="shared" ca="1" si="317"/>
        <v>1.4690619271707774</v>
      </c>
      <c r="AH698" s="304">
        <f t="shared" ca="1" si="318"/>
        <v>-8.3159457034170572</v>
      </c>
    </row>
    <row r="699" spans="1:34" x14ac:dyDescent="0.3">
      <c r="A699" s="347">
        <f t="shared" ca="1" si="296"/>
        <v>1E-4</v>
      </c>
      <c r="B699" s="304">
        <f t="shared" ca="1" si="297"/>
        <v>16.13539999999988</v>
      </c>
      <c r="D699" s="306">
        <f t="shared" ca="1" si="298"/>
        <v>-0.5932170391533087</v>
      </c>
      <c r="E699" s="307">
        <f t="shared" ca="1" si="299"/>
        <v>-1.5151886604133527</v>
      </c>
      <c r="F699" s="304">
        <f t="shared" ca="1" si="300"/>
        <v>1.6271764293361148</v>
      </c>
      <c r="G699" s="306">
        <f t="shared" ca="1" si="301"/>
        <v>3.7333107281216749</v>
      </c>
      <c r="H699" s="307">
        <f t="shared" ca="1" si="302"/>
        <v>-52.20296799286033</v>
      </c>
      <c r="I699" s="304">
        <f t="shared" ca="1" si="303"/>
        <v>52.336292152351682</v>
      </c>
      <c r="J699" s="306">
        <f t="shared" ca="1" si="304"/>
        <v>150.09587023194715</v>
      </c>
      <c r="K699" s="307">
        <f t="shared" ca="1" si="305"/>
        <v>-4.6711881778504356</v>
      </c>
      <c r="L699" s="304">
        <f t="shared" ca="1" si="290"/>
        <v>150.16853951370243</v>
      </c>
      <c r="M699" s="306">
        <f t="shared" ca="1" si="306"/>
        <v>-1.4994025778146107</v>
      </c>
      <c r="N699" s="304">
        <f t="shared" ca="1" si="307"/>
        <v>-85.909439499813203</v>
      </c>
      <c r="P699" s="310">
        <f t="shared" ca="1" si="308"/>
        <v>23</v>
      </c>
      <c r="Q699" s="304">
        <f t="shared" ca="1" si="309"/>
        <v>0</v>
      </c>
      <c r="R699" s="306">
        <f t="shared" ca="1" si="310"/>
        <v>0</v>
      </c>
      <c r="S699" s="307">
        <f t="shared" ca="1" si="311"/>
        <v>0.4270000000000001</v>
      </c>
      <c r="T699" s="304">
        <f t="shared" ca="1" si="291"/>
        <v>4.1888700000000014</v>
      </c>
      <c r="U699" s="311">
        <f t="shared" ca="1" si="292"/>
        <v>0</v>
      </c>
      <c r="V699" s="306">
        <f t="shared" ca="1" si="293"/>
        <v>1.2255723542305024</v>
      </c>
      <c r="W699" s="304">
        <f t="shared" ca="1" si="294"/>
        <v>3.5509523915416561</v>
      </c>
      <c r="Y699" s="314" t="str">
        <f t="shared" ca="1" si="312"/>
        <v/>
      </c>
      <c r="Z699" s="315" t="str">
        <f t="shared" ca="1" si="313"/>
        <v/>
      </c>
      <c r="AA699" s="316" t="str">
        <f t="shared" ca="1" si="314"/>
        <v/>
      </c>
      <c r="AC699" s="310" t="e">
        <f t="shared" ca="1" si="315"/>
        <v>#N/A</v>
      </c>
      <c r="AD699" s="323" t="e">
        <f t="shared" ca="1" si="316"/>
        <v>#N/A</v>
      </c>
      <c r="AE699" s="324" t="e">
        <f t="shared" ca="1" si="295"/>
        <v>#N/A</v>
      </c>
      <c r="AG699" s="306">
        <f t="shared" ca="1" si="317"/>
        <v>1.4690118362197708</v>
      </c>
      <c r="AH699" s="304">
        <f t="shared" ca="1" si="318"/>
        <v>-8.3159967300905713</v>
      </c>
    </row>
    <row r="700" spans="1:34" x14ac:dyDescent="0.3">
      <c r="A700" s="347">
        <f t="shared" ca="1" si="296"/>
        <v>1E-4</v>
      </c>
      <c r="B700" s="304">
        <f t="shared" ca="1" si="297"/>
        <v>16.13549999999988</v>
      </c>
      <c r="D700" s="306">
        <f t="shared" ca="1" si="298"/>
        <v>-0.59320958791476586</v>
      </c>
      <c r="E700" s="307">
        <f t="shared" ca="1" si="299"/>
        <v>-1.5151369719356786</v>
      </c>
      <c r="F700" s="304">
        <f t="shared" ca="1" si="300"/>
        <v>1.6271255817915296</v>
      </c>
      <c r="G700" s="306">
        <f t="shared" ca="1" si="301"/>
        <v>3.7332514071628835</v>
      </c>
      <c r="H700" s="307">
        <f t="shared" ca="1" si="302"/>
        <v>-52.20311950655752</v>
      </c>
      <c r="I700" s="304">
        <f t="shared" ca="1" si="303"/>
        <v>52.336439048573126</v>
      </c>
      <c r="J700" s="306">
        <f t="shared" ca="1" si="304"/>
        <v>150.09587023194715</v>
      </c>
      <c r="K700" s="307">
        <f t="shared" ca="1" si="305"/>
        <v>-4.6764084822254066</v>
      </c>
      <c r="L700" s="304">
        <f t="shared" ca="1" si="290"/>
        <v>150.16870198872383</v>
      </c>
      <c r="M700" s="306">
        <f t="shared" ca="1" si="306"/>
        <v>-1.4994039148903984</v>
      </c>
      <c r="N700" s="304">
        <f t="shared" ca="1" si="307"/>
        <v>-85.909516108612721</v>
      </c>
      <c r="P700" s="310">
        <f t="shared" ca="1" si="308"/>
        <v>23</v>
      </c>
      <c r="Q700" s="304">
        <f t="shared" ca="1" si="309"/>
        <v>0</v>
      </c>
      <c r="R700" s="306">
        <f t="shared" ca="1" si="310"/>
        <v>0</v>
      </c>
      <c r="S700" s="307">
        <f t="shared" ca="1" si="311"/>
        <v>0.4270000000000001</v>
      </c>
      <c r="T700" s="304">
        <f t="shared" ca="1" si="291"/>
        <v>4.1888700000000014</v>
      </c>
      <c r="U700" s="311">
        <f t="shared" ca="1" si="292"/>
        <v>0</v>
      </c>
      <c r="V700" s="306">
        <f t="shared" ca="1" si="293"/>
        <v>1.2255729940167768</v>
      </c>
      <c r="W700" s="304">
        <f t="shared" ca="1" si="294"/>
        <v>3.550974178738048</v>
      </c>
      <c r="Y700" s="314" t="str">
        <f t="shared" ca="1" si="312"/>
        <v/>
      </c>
      <c r="Z700" s="315" t="str">
        <f t="shared" ca="1" si="313"/>
        <v/>
      </c>
      <c r="AA700" s="316" t="str">
        <f t="shared" ca="1" si="314"/>
        <v/>
      </c>
      <c r="AC700" s="310" t="e">
        <f t="shared" ca="1" si="315"/>
        <v>#N/A</v>
      </c>
      <c r="AD700" s="323" t="e">
        <f t="shared" ca="1" si="316"/>
        <v>#N/A</v>
      </c>
      <c r="AE700" s="324" t="e">
        <f t="shared" ca="1" si="295"/>
        <v>#N/A</v>
      </c>
      <c r="AG700" s="306">
        <f t="shared" ca="1" si="317"/>
        <v>1.4689617466283611</v>
      </c>
      <c r="AH700" s="304">
        <f t="shared" ca="1" si="318"/>
        <v>-8.3160477553668741</v>
      </c>
    </row>
    <row r="701" spans="1:34" x14ac:dyDescent="0.3">
      <c r="A701" s="347">
        <f t="shared" ca="1" si="296"/>
        <v>1E-4</v>
      </c>
      <c r="B701" s="304">
        <f t="shared" ca="1" si="297"/>
        <v>16.135599999999879</v>
      </c>
      <c r="D701" s="306">
        <f t="shared" ca="1" si="298"/>
        <v>-0.59320213667789012</v>
      </c>
      <c r="E701" s="307">
        <f t="shared" ca="1" si="299"/>
        <v>-1.5150852848737628</v>
      </c>
      <c r="F701" s="304">
        <f t="shared" ca="1" si="300"/>
        <v>1.6270747356529831</v>
      </c>
      <c r="G701" s="306">
        <f t="shared" ca="1" si="301"/>
        <v>3.7331920869492157</v>
      </c>
      <c r="H701" s="307">
        <f t="shared" ca="1" si="302"/>
        <v>-52.20327101508601</v>
      </c>
      <c r="I701" s="304">
        <f t="shared" ca="1" si="303"/>
        <v>52.336585939785749</v>
      </c>
      <c r="J701" s="306">
        <f t="shared" ca="1" si="304"/>
        <v>150.09587023194715</v>
      </c>
      <c r="K701" s="307">
        <f t="shared" ca="1" si="305"/>
        <v>-4.6816288017514891</v>
      </c>
      <c r="L701" s="304">
        <f t="shared" ca="1" si="290"/>
        <v>150.16886464551467</v>
      </c>
      <c r="M701" s="306">
        <f t="shared" ca="1" si="306"/>
        <v>-1.499405251937435</v>
      </c>
      <c r="N701" s="304">
        <f t="shared" ca="1" si="307"/>
        <v>-85.90959271576493</v>
      </c>
      <c r="P701" s="310">
        <f t="shared" ca="1" si="308"/>
        <v>23</v>
      </c>
      <c r="Q701" s="304">
        <f t="shared" ca="1" si="309"/>
        <v>0</v>
      </c>
      <c r="R701" s="306">
        <f t="shared" ca="1" si="310"/>
        <v>0</v>
      </c>
      <c r="S701" s="307">
        <f t="shared" ca="1" si="311"/>
        <v>0.4270000000000001</v>
      </c>
      <c r="T701" s="304">
        <f t="shared" ca="1" si="291"/>
        <v>4.1888700000000014</v>
      </c>
      <c r="U701" s="311">
        <f t="shared" ca="1" si="292"/>
        <v>0</v>
      </c>
      <c r="V701" s="306">
        <f t="shared" ca="1" si="293"/>
        <v>1.2255736338052416</v>
      </c>
      <c r="W701" s="304">
        <f t="shared" ca="1" si="294"/>
        <v>3.550995965337858</v>
      </c>
      <c r="Y701" s="314" t="str">
        <f t="shared" ca="1" si="312"/>
        <v/>
      </c>
      <c r="Z701" s="315" t="str">
        <f t="shared" ca="1" si="313"/>
        <v/>
      </c>
      <c r="AA701" s="316" t="str">
        <f t="shared" ca="1" si="314"/>
        <v/>
      </c>
      <c r="AC701" s="310" t="e">
        <f t="shared" ca="1" si="315"/>
        <v>#N/A</v>
      </c>
      <c r="AD701" s="323" t="e">
        <f t="shared" ca="1" si="316"/>
        <v>#N/A</v>
      </c>
      <c r="AE701" s="324" t="e">
        <f t="shared" ca="1" si="295"/>
        <v>#N/A</v>
      </c>
      <c r="AG701" s="306">
        <f t="shared" ca="1" si="317"/>
        <v>1.4689116583965021</v>
      </c>
      <c r="AH701" s="304">
        <f t="shared" ca="1" si="318"/>
        <v>-8.3160987792460119</v>
      </c>
    </row>
    <row r="702" spans="1:34" x14ac:dyDescent="0.3">
      <c r="A702" s="347">
        <f t="shared" ca="1" si="296"/>
        <v>1E-4</v>
      </c>
      <c r="B702" s="304">
        <f t="shared" ca="1" si="297"/>
        <v>16.135699999999879</v>
      </c>
      <c r="D702" s="306">
        <f t="shared" ca="1" si="298"/>
        <v>-0.59319468544268517</v>
      </c>
      <c r="E702" s="307">
        <f t="shared" ca="1" si="299"/>
        <v>-1.5150335992275874</v>
      </c>
      <c r="F702" s="304">
        <f t="shared" ca="1" si="300"/>
        <v>1.6270238909204573</v>
      </c>
      <c r="G702" s="306">
        <f t="shared" ca="1" si="301"/>
        <v>3.7331327674806714</v>
      </c>
      <c r="H702" s="307">
        <f t="shared" ca="1" si="302"/>
        <v>-52.203422518445933</v>
      </c>
      <c r="I702" s="304">
        <f t="shared" ca="1" si="303"/>
        <v>52.336732825989678</v>
      </c>
      <c r="J702" s="306">
        <f t="shared" ca="1" si="304"/>
        <v>150.09587023194715</v>
      </c>
      <c r="K702" s="307">
        <f t="shared" ca="1" si="305"/>
        <v>-4.6868491364281661</v>
      </c>
      <c r="L702" s="304">
        <f t="shared" ca="1" si="290"/>
        <v>150.16902748407594</v>
      </c>
      <c r="M702" s="306">
        <f t="shared" ca="1" si="306"/>
        <v>-1.4994065889557213</v>
      </c>
      <c r="N702" s="304">
        <f t="shared" ca="1" si="307"/>
        <v>-85.90966932126986</v>
      </c>
      <c r="P702" s="310">
        <f t="shared" ca="1" si="308"/>
        <v>23</v>
      </c>
      <c r="Q702" s="304">
        <f t="shared" ca="1" si="309"/>
        <v>0</v>
      </c>
      <c r="R702" s="306">
        <f t="shared" ca="1" si="310"/>
        <v>0</v>
      </c>
      <c r="S702" s="307">
        <f t="shared" ca="1" si="311"/>
        <v>0.4270000000000001</v>
      </c>
      <c r="T702" s="304">
        <f t="shared" ca="1" si="291"/>
        <v>4.1888700000000014</v>
      </c>
      <c r="U702" s="311">
        <f t="shared" ca="1" si="292"/>
        <v>0</v>
      </c>
      <c r="V702" s="306">
        <f t="shared" ca="1" si="293"/>
        <v>1.2255742735958981</v>
      </c>
      <c r="W702" s="304">
        <f t="shared" ca="1" si="294"/>
        <v>3.5510177513410994</v>
      </c>
      <c r="Y702" s="314" t="str">
        <f t="shared" ca="1" si="312"/>
        <v/>
      </c>
      <c r="Z702" s="315" t="str">
        <f t="shared" ca="1" si="313"/>
        <v/>
      </c>
      <c r="AA702" s="316" t="str">
        <f t="shared" ca="1" si="314"/>
        <v/>
      </c>
      <c r="AC702" s="310" t="e">
        <f t="shared" ca="1" si="315"/>
        <v>#N/A</v>
      </c>
      <c r="AD702" s="323" t="e">
        <f t="shared" ca="1" si="316"/>
        <v>#N/A</v>
      </c>
      <c r="AE702" s="324" t="e">
        <f t="shared" ca="1" si="295"/>
        <v>#N/A</v>
      </c>
      <c r="AG702" s="306">
        <f t="shared" ca="1" si="317"/>
        <v>1.4688615715241795</v>
      </c>
      <c r="AH702" s="304">
        <f t="shared" ca="1" si="318"/>
        <v>-8.3161498017280024</v>
      </c>
    </row>
    <row r="703" spans="1:34" x14ac:dyDescent="0.3">
      <c r="A703" s="347">
        <f t="shared" ca="1" si="296"/>
        <v>1E-4</v>
      </c>
      <c r="B703" s="304">
        <f t="shared" ca="1" si="297"/>
        <v>16.135799999999879</v>
      </c>
      <c r="D703" s="306">
        <f t="shared" ca="1" si="298"/>
        <v>-0.59318723420915809</v>
      </c>
      <c r="E703" s="307">
        <f t="shared" ca="1" si="299"/>
        <v>-1.5149819149971187</v>
      </c>
      <c r="F703" s="304">
        <f t="shared" ca="1" si="300"/>
        <v>1.6269730475939199</v>
      </c>
      <c r="G703" s="306">
        <f t="shared" ca="1" si="301"/>
        <v>3.7330734487572506</v>
      </c>
      <c r="H703" s="307">
        <f t="shared" ca="1" si="302"/>
        <v>-52.203574016637432</v>
      </c>
      <c r="I703" s="304">
        <f t="shared" ca="1" si="303"/>
        <v>52.336879707185062</v>
      </c>
      <c r="J703" s="306">
        <f t="shared" ca="1" si="304"/>
        <v>150.09587023194715</v>
      </c>
      <c r="K703" s="307">
        <f t="shared" ca="1" si="305"/>
        <v>-4.6920694862549199</v>
      </c>
      <c r="L703" s="304">
        <f t="shared" ca="1" si="290"/>
        <v>150.16919050440859</v>
      </c>
      <c r="M703" s="306">
        <f t="shared" ca="1" si="306"/>
        <v>-1.4994079259452582</v>
      </c>
      <c r="N703" s="304">
        <f t="shared" ca="1" si="307"/>
        <v>-85.909745925127581</v>
      </c>
      <c r="P703" s="310">
        <f t="shared" ca="1" si="308"/>
        <v>23</v>
      </c>
      <c r="Q703" s="304">
        <f t="shared" ca="1" si="309"/>
        <v>0</v>
      </c>
      <c r="R703" s="306">
        <f t="shared" ca="1" si="310"/>
        <v>0</v>
      </c>
      <c r="S703" s="307">
        <f t="shared" ca="1" si="311"/>
        <v>0.4270000000000001</v>
      </c>
      <c r="T703" s="304">
        <f t="shared" ca="1" si="291"/>
        <v>4.1888700000000014</v>
      </c>
      <c r="U703" s="311">
        <f t="shared" ca="1" si="292"/>
        <v>0</v>
      </c>
      <c r="V703" s="306">
        <f t="shared" ca="1" si="293"/>
        <v>1.225574913388745</v>
      </c>
      <c r="W703" s="304">
        <f t="shared" ca="1" si="294"/>
        <v>3.5510395367477838</v>
      </c>
      <c r="Y703" s="314" t="str">
        <f t="shared" ca="1" si="312"/>
        <v/>
      </c>
      <c r="Z703" s="315" t="str">
        <f t="shared" ca="1" si="313"/>
        <v/>
      </c>
      <c r="AA703" s="316" t="str">
        <f t="shared" ca="1" si="314"/>
        <v/>
      </c>
      <c r="AC703" s="310" t="e">
        <f t="shared" ca="1" si="315"/>
        <v>#N/A</v>
      </c>
      <c r="AD703" s="323" t="e">
        <f t="shared" ca="1" si="316"/>
        <v>#N/A</v>
      </c>
      <c r="AE703" s="324" t="e">
        <f t="shared" ca="1" si="295"/>
        <v>#N/A</v>
      </c>
      <c r="AG703" s="306">
        <f t="shared" ca="1" si="317"/>
        <v>1.4688114860113615</v>
      </c>
      <c r="AH703" s="304">
        <f t="shared" ca="1" si="318"/>
        <v>-8.3162008228128776</v>
      </c>
    </row>
    <row r="704" spans="1:34" x14ac:dyDescent="0.3">
      <c r="A704" s="347">
        <f t="shared" ca="1" si="296"/>
        <v>1E-4</v>
      </c>
      <c r="B704" s="304">
        <f t="shared" ca="1" si="297"/>
        <v>16.135899999999879</v>
      </c>
      <c r="D704" s="306">
        <f t="shared" ca="1" si="298"/>
        <v>-0.59317978297731311</v>
      </c>
      <c r="E704" s="307">
        <f t="shared" ca="1" si="299"/>
        <v>-1.5149302321823335</v>
      </c>
      <c r="F704" s="304">
        <f t="shared" ca="1" si="300"/>
        <v>1.6269222056733479</v>
      </c>
      <c r="G704" s="306">
        <f t="shared" ca="1" si="301"/>
        <v>3.7330141307789528</v>
      </c>
      <c r="H704" s="307">
        <f t="shared" ca="1" si="302"/>
        <v>-52.20372550966065</v>
      </c>
      <c r="I704" s="304">
        <f t="shared" ca="1" si="303"/>
        <v>52.337026583372023</v>
      </c>
      <c r="J704" s="306">
        <f t="shared" ca="1" si="304"/>
        <v>150.09587023194715</v>
      </c>
      <c r="K704" s="307">
        <f t="shared" ca="1" si="305"/>
        <v>-4.6972898512312344</v>
      </c>
      <c r="L704" s="304">
        <f t="shared" ca="1" si="290"/>
        <v>150.16935370651362</v>
      </c>
      <c r="M704" s="306">
        <f t="shared" ca="1" si="306"/>
        <v>-1.4994092629060463</v>
      </c>
      <c r="N704" s="304">
        <f t="shared" ca="1" si="307"/>
        <v>-85.909822527338108</v>
      </c>
      <c r="P704" s="310">
        <f t="shared" ca="1" si="308"/>
        <v>23</v>
      </c>
      <c r="Q704" s="304">
        <f t="shared" ca="1" si="309"/>
        <v>0</v>
      </c>
      <c r="R704" s="306">
        <f t="shared" ca="1" si="310"/>
        <v>0</v>
      </c>
      <c r="S704" s="307">
        <f t="shared" ca="1" si="311"/>
        <v>0.4270000000000001</v>
      </c>
      <c r="T704" s="304">
        <f t="shared" ca="1" si="291"/>
        <v>4.1888700000000014</v>
      </c>
      <c r="U704" s="311">
        <f t="shared" ca="1" si="292"/>
        <v>0</v>
      </c>
      <c r="V704" s="306">
        <f t="shared" ca="1" si="293"/>
        <v>1.2255755531837824</v>
      </c>
      <c r="W704" s="304">
        <f t="shared" ca="1" si="294"/>
        <v>3.551061321557921</v>
      </c>
      <c r="Y704" s="314" t="str">
        <f t="shared" ca="1" si="312"/>
        <v/>
      </c>
      <c r="Z704" s="315" t="str">
        <f t="shared" ca="1" si="313"/>
        <v/>
      </c>
      <c r="AA704" s="316" t="str">
        <f t="shared" ca="1" si="314"/>
        <v/>
      </c>
      <c r="AC704" s="310" t="e">
        <f t="shared" ca="1" si="315"/>
        <v>#N/A</v>
      </c>
      <c r="AD704" s="323" t="e">
        <f t="shared" ca="1" si="316"/>
        <v>#N/A</v>
      </c>
      <c r="AE704" s="324" t="e">
        <f t="shared" ca="1" si="295"/>
        <v>#N/A</v>
      </c>
      <c r="AG704" s="306">
        <f t="shared" ca="1" si="317"/>
        <v>1.4687614018580248</v>
      </c>
      <c r="AH704" s="304">
        <f t="shared" ca="1" si="318"/>
        <v>-8.3162518425006624</v>
      </c>
    </row>
    <row r="705" spans="1:34" x14ac:dyDescent="0.3">
      <c r="A705" s="347">
        <f t="shared" ca="1" si="296"/>
        <v>1E-4</v>
      </c>
      <c r="B705" s="304">
        <f t="shared" ca="1" si="297"/>
        <v>16.135999999999878</v>
      </c>
      <c r="D705" s="306">
        <f t="shared" ca="1" si="298"/>
        <v>-0.59317233174715656</v>
      </c>
      <c r="E705" s="307">
        <f t="shared" ca="1" si="299"/>
        <v>-1.5148785507832034</v>
      </c>
      <c r="F705" s="304">
        <f t="shared" ca="1" si="300"/>
        <v>1.6268713651587139</v>
      </c>
      <c r="G705" s="306">
        <f t="shared" ca="1" si="301"/>
        <v>3.7329548135457782</v>
      </c>
      <c r="H705" s="307">
        <f t="shared" ca="1" si="302"/>
        <v>-52.203876997515728</v>
      </c>
      <c r="I705" s="304">
        <f t="shared" ca="1" si="303"/>
        <v>52.337173454550701</v>
      </c>
      <c r="J705" s="306">
        <f t="shared" ca="1" si="304"/>
        <v>150.09587023194715</v>
      </c>
      <c r="K705" s="307">
        <f t="shared" ca="1" si="305"/>
        <v>-4.7025102313565936</v>
      </c>
      <c r="L705" s="304">
        <f t="shared" ca="1" si="290"/>
        <v>150.16951709039199</v>
      </c>
      <c r="M705" s="306">
        <f t="shared" ca="1" si="306"/>
        <v>-1.4994105998380867</v>
      </c>
      <c r="N705" s="304">
        <f t="shared" ca="1" si="307"/>
        <v>-85.909899127901525</v>
      </c>
      <c r="P705" s="310">
        <f t="shared" ca="1" si="308"/>
        <v>23</v>
      </c>
      <c r="Q705" s="304">
        <f t="shared" ca="1" si="309"/>
        <v>0</v>
      </c>
      <c r="R705" s="306">
        <f t="shared" ca="1" si="310"/>
        <v>0</v>
      </c>
      <c r="S705" s="307">
        <f t="shared" ca="1" si="311"/>
        <v>0.4270000000000001</v>
      </c>
      <c r="T705" s="304">
        <f t="shared" ca="1" si="291"/>
        <v>4.1888700000000014</v>
      </c>
      <c r="U705" s="311">
        <f t="shared" ca="1" si="292"/>
        <v>0</v>
      </c>
      <c r="V705" s="306">
        <f t="shared" ca="1" si="293"/>
        <v>1.2255761929810107</v>
      </c>
      <c r="W705" s="304">
        <f t="shared" ca="1" si="294"/>
        <v>3.5510831057715238</v>
      </c>
      <c r="Y705" s="314" t="str">
        <f t="shared" ca="1" si="312"/>
        <v/>
      </c>
      <c r="Z705" s="315" t="str">
        <f t="shared" ca="1" si="313"/>
        <v/>
      </c>
      <c r="AA705" s="316" t="str">
        <f t="shared" ca="1" si="314"/>
        <v/>
      </c>
      <c r="AC705" s="310" t="e">
        <f t="shared" ca="1" si="315"/>
        <v>#N/A</v>
      </c>
      <c r="AD705" s="323" t="e">
        <f t="shared" ca="1" si="316"/>
        <v>#N/A</v>
      </c>
      <c r="AE705" s="324" t="e">
        <f t="shared" ca="1" si="295"/>
        <v>#N/A</v>
      </c>
      <c r="AG705" s="306">
        <f t="shared" ca="1" si="317"/>
        <v>1.4687113190641483</v>
      </c>
      <c r="AH705" s="304">
        <f t="shared" ca="1" si="318"/>
        <v>-8.3163028607913816</v>
      </c>
    </row>
    <row r="706" spans="1:34" x14ac:dyDescent="0.3">
      <c r="A706" s="347">
        <f t="shared" ca="1" si="296"/>
        <v>1E-4</v>
      </c>
      <c r="B706" s="304">
        <f t="shared" ca="1" si="297"/>
        <v>16.136099999999878</v>
      </c>
      <c r="D706" s="306">
        <f t="shared" ca="1" si="298"/>
        <v>-0.59316488051869165</v>
      </c>
      <c r="E706" s="307">
        <f t="shared" ca="1" si="299"/>
        <v>-1.5148268707997019</v>
      </c>
      <c r="F706" s="304">
        <f t="shared" ca="1" si="300"/>
        <v>1.6268205260499915</v>
      </c>
      <c r="G706" s="306">
        <f t="shared" ca="1" si="301"/>
        <v>3.7328954970577262</v>
      </c>
      <c r="H706" s="307">
        <f t="shared" ca="1" si="302"/>
        <v>-52.204028480202808</v>
      </c>
      <c r="I706" s="304">
        <f t="shared" ca="1" si="303"/>
        <v>52.337320320721233</v>
      </c>
      <c r="J706" s="306">
        <f t="shared" ca="1" si="304"/>
        <v>150.09587023194715</v>
      </c>
      <c r="K706" s="307">
        <f t="shared" ca="1" si="305"/>
        <v>-4.7077306266304797</v>
      </c>
      <c r="L706" s="304">
        <f t="shared" ca="1" si="290"/>
        <v>150.16968065604465</v>
      </c>
      <c r="M706" s="306">
        <f t="shared" ca="1" si="306"/>
        <v>-1.4994119367413801</v>
      </c>
      <c r="N706" s="304">
        <f t="shared" ca="1" si="307"/>
        <v>-85.909975726817848</v>
      </c>
      <c r="P706" s="310">
        <f t="shared" ca="1" si="308"/>
        <v>23</v>
      </c>
      <c r="Q706" s="304">
        <f t="shared" ca="1" si="309"/>
        <v>0</v>
      </c>
      <c r="R706" s="306">
        <f t="shared" ca="1" si="310"/>
        <v>0</v>
      </c>
      <c r="S706" s="307">
        <f t="shared" ca="1" si="311"/>
        <v>0.4270000000000001</v>
      </c>
      <c r="T706" s="304">
        <f t="shared" ca="1" si="291"/>
        <v>4.1888700000000014</v>
      </c>
      <c r="U706" s="311">
        <f t="shared" ca="1" si="292"/>
        <v>0</v>
      </c>
      <c r="V706" s="306">
        <f t="shared" ca="1" si="293"/>
        <v>1.2255768327804295</v>
      </c>
      <c r="W706" s="304">
        <f t="shared" ca="1" si="294"/>
        <v>3.5511048893886024</v>
      </c>
      <c r="Y706" s="314" t="str">
        <f t="shared" ca="1" si="312"/>
        <v/>
      </c>
      <c r="Z706" s="315" t="str">
        <f t="shared" ca="1" si="313"/>
        <v/>
      </c>
      <c r="AA706" s="316" t="str">
        <f t="shared" ca="1" si="314"/>
        <v/>
      </c>
      <c r="AC706" s="310" t="e">
        <f t="shared" ca="1" si="315"/>
        <v>#N/A</v>
      </c>
      <c r="AD706" s="323" t="e">
        <f t="shared" ca="1" si="316"/>
        <v>#N/A</v>
      </c>
      <c r="AE706" s="324" t="e">
        <f t="shared" ca="1" si="295"/>
        <v>#N/A</v>
      </c>
      <c r="AG706" s="306">
        <f t="shared" ca="1" si="317"/>
        <v>1.4686612376296999</v>
      </c>
      <c r="AH706" s="304">
        <f t="shared" ca="1" si="318"/>
        <v>-8.3163538776850654</v>
      </c>
    </row>
    <row r="707" spans="1:34" x14ac:dyDescent="0.3">
      <c r="A707" s="347">
        <f t="shared" ca="1" si="296"/>
        <v>1E-4</v>
      </c>
      <c r="B707" s="304">
        <f t="shared" ca="1" si="297"/>
        <v>16.136199999999878</v>
      </c>
      <c r="D707" s="306">
        <f t="shared" ca="1" si="298"/>
        <v>-0.59315742929192428</v>
      </c>
      <c r="E707" s="307">
        <f t="shared" ca="1" si="299"/>
        <v>-1.5147751922318022</v>
      </c>
      <c r="F707" s="304">
        <f t="shared" ca="1" si="300"/>
        <v>1.6267696883471543</v>
      </c>
      <c r="G707" s="306">
        <f t="shared" ca="1" si="301"/>
        <v>3.7328361813147968</v>
      </c>
      <c r="H707" s="307">
        <f t="shared" ca="1" si="302"/>
        <v>-52.204179957722033</v>
      </c>
      <c r="I707" s="304">
        <f t="shared" ca="1" si="303"/>
        <v>52.33746718188376</v>
      </c>
      <c r="J707" s="306">
        <f t="shared" ca="1" si="304"/>
        <v>150.09587023194715</v>
      </c>
      <c r="K707" s="307">
        <f t="shared" ca="1" si="305"/>
        <v>-4.7129510370523757</v>
      </c>
      <c r="L707" s="304">
        <f t="shared" ca="1" si="290"/>
        <v>150.16984440347258</v>
      </c>
      <c r="M707" s="306">
        <f t="shared" ca="1" si="306"/>
        <v>-1.4994132736159274</v>
      </c>
      <c r="N707" s="304">
        <f t="shared" ca="1" si="307"/>
        <v>-85.910052324087147</v>
      </c>
      <c r="P707" s="310">
        <f t="shared" ca="1" si="308"/>
        <v>23</v>
      </c>
      <c r="Q707" s="304">
        <f t="shared" ca="1" si="309"/>
        <v>0</v>
      </c>
      <c r="R707" s="306">
        <f t="shared" ca="1" si="310"/>
        <v>0</v>
      </c>
      <c r="S707" s="307">
        <f t="shared" ca="1" si="311"/>
        <v>0.4270000000000001</v>
      </c>
      <c r="T707" s="304">
        <f t="shared" ca="1" si="291"/>
        <v>4.1888700000000014</v>
      </c>
      <c r="U707" s="311">
        <f t="shared" ca="1" si="292"/>
        <v>0</v>
      </c>
      <c r="V707" s="306">
        <f t="shared" ca="1" si="293"/>
        <v>1.2255774725820394</v>
      </c>
      <c r="W707" s="304">
        <f t="shared" ca="1" si="294"/>
        <v>3.5511266724091732</v>
      </c>
      <c r="Y707" s="314" t="str">
        <f t="shared" ca="1" si="312"/>
        <v/>
      </c>
      <c r="Z707" s="315" t="str">
        <f t="shared" ca="1" si="313"/>
        <v/>
      </c>
      <c r="AA707" s="316" t="str">
        <f t="shared" ca="1" si="314"/>
        <v/>
      </c>
      <c r="AC707" s="310" t="e">
        <f t="shared" ca="1" si="315"/>
        <v>#N/A</v>
      </c>
      <c r="AD707" s="323" t="e">
        <f t="shared" ca="1" si="316"/>
        <v>#N/A</v>
      </c>
      <c r="AE707" s="324" t="e">
        <f t="shared" ca="1" si="295"/>
        <v>#N/A</v>
      </c>
      <c r="AG707" s="306">
        <f t="shared" ca="1" si="317"/>
        <v>1.4686111575546619</v>
      </c>
      <c r="AH707" s="304">
        <f t="shared" ca="1" si="318"/>
        <v>-8.3164048931817369</v>
      </c>
    </row>
    <row r="708" spans="1:34" x14ac:dyDescent="0.3">
      <c r="A708" s="347">
        <f t="shared" ca="1" si="296"/>
        <v>1E-4</v>
      </c>
      <c r="B708" s="304">
        <f t="shared" ca="1" si="297"/>
        <v>16.136299999999878</v>
      </c>
      <c r="D708" s="306">
        <f t="shared" ca="1" si="298"/>
        <v>-0.59314997806685987</v>
      </c>
      <c r="E708" s="307">
        <f t="shared" ca="1" si="299"/>
        <v>-1.5147235150794689</v>
      </c>
      <c r="F708" s="304">
        <f t="shared" ca="1" si="300"/>
        <v>1.6267188520501685</v>
      </c>
      <c r="G708" s="306">
        <f t="shared" ca="1" si="301"/>
        <v>3.73277686631699</v>
      </c>
      <c r="H708" s="307">
        <f t="shared" ca="1" si="302"/>
        <v>-52.204331430073545</v>
      </c>
      <c r="I708" s="304">
        <f t="shared" ca="1" si="303"/>
        <v>52.337614038038417</v>
      </c>
      <c r="J708" s="306">
        <f t="shared" ca="1" si="304"/>
        <v>150.09587023194715</v>
      </c>
      <c r="K708" s="307">
        <f t="shared" ca="1" si="305"/>
        <v>-4.7181714626217657</v>
      </c>
      <c r="L708" s="304">
        <f t="shared" ref="L708:L771" ca="1" si="319">SQRT(pos_x^2+pos_z^2)</f>
        <v>150.17000833267679</v>
      </c>
      <c r="M708" s="306">
        <f t="shared" ca="1" si="306"/>
        <v>-1.4994146104617294</v>
      </c>
      <c r="N708" s="304">
        <f t="shared" ca="1" si="307"/>
        <v>-85.910128919709464</v>
      </c>
      <c r="P708" s="310">
        <f t="shared" ca="1" si="308"/>
        <v>23</v>
      </c>
      <c r="Q708" s="304">
        <f t="shared" ca="1" si="309"/>
        <v>0</v>
      </c>
      <c r="R708" s="306">
        <f t="shared" ca="1" si="310"/>
        <v>0</v>
      </c>
      <c r="S708" s="307">
        <f t="shared" ca="1" si="311"/>
        <v>0.4270000000000001</v>
      </c>
      <c r="T708" s="304">
        <f t="shared" ref="T708:T771" ca="1" si="320">m*g</f>
        <v>4.1888700000000014</v>
      </c>
      <c r="U708" s="311">
        <f t="shared" ref="U708:U771" ca="1" si="321">IF(pos_xz&lt;L_rampe,Poids*COS(Beta),0)</f>
        <v>0</v>
      </c>
      <c r="V708" s="306">
        <f t="shared" ref="V708:V771" ca="1" si="322">Rho_moyen*(20000-Alt_rampe-pos_z)/(20000+Alt_rampe+pos_z)</f>
        <v>1.2255781123858391</v>
      </c>
      <c r="W708" s="304">
        <f t="shared" ref="W708:W771" ca="1" si="323">1/2*Rho*Sref*Cx*vit_xz^2</f>
        <v>3.5511484548332439</v>
      </c>
      <c r="Y708" s="314" t="str">
        <f t="shared" ca="1" si="312"/>
        <v/>
      </c>
      <c r="Z708" s="315" t="str">
        <f t="shared" ca="1" si="313"/>
        <v/>
      </c>
      <c r="AA708" s="316" t="str">
        <f t="shared" ca="1" si="314"/>
        <v/>
      </c>
      <c r="AC708" s="310" t="e">
        <f t="shared" ca="1" si="315"/>
        <v>#N/A</v>
      </c>
      <c r="AD708" s="323" t="e">
        <f t="shared" ca="1" si="316"/>
        <v>#N/A</v>
      </c>
      <c r="AE708" s="324" t="e">
        <f t="shared" ref="AE708:AE771" ca="1" si="324">IF(t&lt;T_para, pos_z, NA())</f>
        <v>#N/A</v>
      </c>
      <c r="AG708" s="306">
        <f t="shared" ca="1" si="317"/>
        <v>1.4685610788389969</v>
      </c>
      <c r="AH708" s="304">
        <f t="shared" ca="1" si="318"/>
        <v>-8.3164559072814335</v>
      </c>
    </row>
    <row r="709" spans="1:34" x14ac:dyDescent="0.3">
      <c r="A709" s="347">
        <f t="shared" ref="A709:A772" ca="1" si="325">IF(B708+0.01&lt;=T_ini+ROUNDUP(Temps_fin_propu,0), 0.01, IF(K708&gt;0, 0.1, 0.0001))</f>
        <v>1E-4</v>
      </c>
      <c r="B709" s="304">
        <f t="shared" ref="B709:B772" ca="1" si="326">B708+pas</f>
        <v>16.136399999999878</v>
      </c>
      <c r="D709" s="306">
        <f t="shared" ref="D709:D772" ca="1" si="327">IF(AND(L708&lt;L_rampe,Poussee&lt;Poids*SIN(M708)),0,(-W708+Poussee)/m*COS(M708)-U708/m*SIN(M708))</f>
        <v>-0.59314252684350266</v>
      </c>
      <c r="E709" s="307">
        <f t="shared" ref="E709:E772" ca="1" si="328">IF(AND(L708&lt;L_rampe,Poussee&lt;Poids*SIN(M708)),0,(-W708+Poussee)/m*SIN(M708)+U708/m*COS(M708)-Poids/m)</f>
        <v>-1.5146718393426788</v>
      </c>
      <c r="F709" s="304">
        <f t="shared" ref="F709:F772" ca="1" si="329">SQRT(acc_x^2+acc_z^2)</f>
        <v>1.6266680171590111</v>
      </c>
      <c r="G709" s="306">
        <f t="shared" ref="G709:G772" ca="1" si="330">G708+acc_x*pas</f>
        <v>3.7327175520643059</v>
      </c>
      <c r="H709" s="307">
        <f t="shared" ref="H709:H772" ca="1" si="331">H708+acc_z*pas</f>
        <v>-52.204482897257478</v>
      </c>
      <c r="I709" s="304">
        <f t="shared" ref="I709:I772" ca="1" si="332">SQRT(vit_x^2+vit_z^2)</f>
        <v>52.337760889185333</v>
      </c>
      <c r="J709" s="306">
        <f t="shared" ref="J709:J772" ca="1" si="333">J708+0.5*(vit_x+G708)*pas*(K708&gt;=0)</f>
        <v>150.09587023194715</v>
      </c>
      <c r="K709" s="307">
        <f t="shared" ref="K709:K772" ca="1" si="334">K708+0.5*(vit_z+H708)*pas</f>
        <v>-4.7233919033381326</v>
      </c>
      <c r="L709" s="304">
        <f t="shared" ca="1" si="319"/>
        <v>150.1701724436582</v>
      </c>
      <c r="M709" s="306">
        <f t="shared" ref="M709:M772" ca="1" si="335">IF(AND(L708&gt;L_rampe,G709&gt;0),ATAN2(G709,H709),$M$4)</f>
        <v>-1.4994159472787867</v>
      </c>
      <c r="N709" s="304">
        <f t="shared" ref="N709:N772" ca="1" si="336">DEGREES(Beta)</f>
        <v>-85.910205513684829</v>
      </c>
      <c r="P709" s="310">
        <f t="shared" ref="P709:P772" ca="1" si="337">MATCH(t-pas/2-T_ini,CdP_t)</f>
        <v>23</v>
      </c>
      <c r="Q709" s="304">
        <f t="shared" ref="Q709:Q772" ca="1" si="338">(INDEX(CdP,2,i_P+1)-INDEX(CdP,2,i_P+0))/(INDEX(CdP,1,i_P+1)-INDEX(CdP,1,i_P+0))*(t-pas/2-T_ini-INDEX(CdP,1,i_P+0))+INDEX(CdP,2,i_P+0)</f>
        <v>0</v>
      </c>
      <c r="R709" s="306">
        <f t="shared" ref="R709:R772" ca="1" si="339">Poussee/(g*ISP)</f>
        <v>0</v>
      </c>
      <c r="S709" s="307">
        <f t="shared" ref="S709:S772" ca="1" si="340">S708-Débit*pas</f>
        <v>0.4270000000000001</v>
      </c>
      <c r="T709" s="304">
        <f t="shared" ca="1" si="320"/>
        <v>4.1888700000000014</v>
      </c>
      <c r="U709" s="311">
        <f t="shared" ca="1" si="321"/>
        <v>0</v>
      </c>
      <c r="V709" s="306">
        <f t="shared" ca="1" si="322"/>
        <v>1.2255787521918298</v>
      </c>
      <c r="W709" s="304">
        <f t="shared" ca="1" si="323"/>
        <v>3.5511702366608269</v>
      </c>
      <c r="Y709" s="314" t="str">
        <f t="shared" ref="Y709:Y772" ca="1" si="341">IF(AND(pos_z&lt;=0,K708&gt;0),"Impact balistique","") &amp; IF(AND(H710&lt;0,vit_z&gt;=0),"Apogée","") &amp; IF(AND(Poussee=0,Q708&gt;0),"Fin de propulsion","") &amp; IF(AND(L710&gt;L_rampe,pos_xz&lt;=L_rampe),"Sortie de rampe","")</f>
        <v/>
      </c>
      <c r="Z709" s="315" t="str">
        <f t="shared" ref="Z709:Z772" ca="1" si="342">IF(ABS(t-T_para)&lt;pas/2,"Para","")</f>
        <v/>
      </c>
      <c r="AA709" s="316" t="str">
        <f t="shared" ref="AA709:AA772" ca="1" si="343">IF(ABS(t-T_satellite)&lt;pas/2,"Satellite","")</f>
        <v/>
      </c>
      <c r="AC709" s="310" t="e">
        <f t="shared" ref="AC709:AC772" ca="1" si="344">IF(ABS(t-ROUND(t,0))&lt;0.001,t,NA())</f>
        <v>#N/A</v>
      </c>
      <c r="AD709" s="323" t="e">
        <f t="shared" ref="AD709:AD772" ca="1" si="345">IF(ABS(t-ROUND(t,0))&lt;0.001,pos_x,NA())</f>
        <v>#N/A</v>
      </c>
      <c r="AE709" s="324" t="e">
        <f t="shared" ca="1" si="324"/>
        <v>#N/A</v>
      </c>
      <c r="AG709" s="306">
        <f t="shared" ref="AG709:AG772" ca="1" si="346">IF(AND(L708&lt;L_rampe,Poussee&lt;Poids*SIN(M708)),0,(-W708+Poussee)/m-Poids*SIN(M708)/m)</f>
        <v>1.4685110014826854</v>
      </c>
      <c r="AH709" s="304">
        <f t="shared" ref="AH709:AH772" ca="1" si="347">IF(AND(L708&lt;L_rampe,Poussee&lt;Poids*SIN(M708)), g*SIN(M708), (-W708+Poussee)/m)</f>
        <v>-8.3165069199841763</v>
      </c>
    </row>
    <row r="710" spans="1:34" x14ac:dyDescent="0.3">
      <c r="A710" s="347">
        <f t="shared" ca="1" si="325"/>
        <v>1E-4</v>
      </c>
      <c r="B710" s="304">
        <f t="shared" ca="1" si="326"/>
        <v>16.136499999999877</v>
      </c>
      <c r="D710" s="306">
        <f t="shared" ca="1" si="327"/>
        <v>-0.59313507562186074</v>
      </c>
      <c r="E710" s="307">
        <f t="shared" ca="1" si="328"/>
        <v>-1.5146201650214071</v>
      </c>
      <c r="F710" s="304">
        <f t="shared" ca="1" si="329"/>
        <v>1.6266171836736585</v>
      </c>
      <c r="G710" s="306">
        <f t="shared" ca="1" si="330"/>
        <v>3.7326582385567435</v>
      </c>
      <c r="H710" s="307">
        <f t="shared" ca="1" si="331"/>
        <v>-52.204634359273982</v>
      </c>
      <c r="I710" s="304">
        <f t="shared" ca="1" si="332"/>
        <v>52.337907735324642</v>
      </c>
      <c r="J710" s="306">
        <f t="shared" ca="1" si="333"/>
        <v>150.09587023194715</v>
      </c>
      <c r="K710" s="307">
        <f t="shared" ca="1" si="334"/>
        <v>-4.7286123592009588</v>
      </c>
      <c r="L710" s="304">
        <f t="shared" ca="1" si="319"/>
        <v>150.17033673641777</v>
      </c>
      <c r="M710" s="306">
        <f t="shared" ca="1" si="335"/>
        <v>-1.4994172840671005</v>
      </c>
      <c r="N710" s="304">
        <f t="shared" ca="1" si="336"/>
        <v>-85.910282106013312</v>
      </c>
      <c r="P710" s="310">
        <f t="shared" ca="1" si="337"/>
        <v>23</v>
      </c>
      <c r="Q710" s="304">
        <f t="shared" ca="1" si="338"/>
        <v>0</v>
      </c>
      <c r="R710" s="306">
        <f t="shared" ca="1" si="339"/>
        <v>0</v>
      </c>
      <c r="S710" s="307">
        <f t="shared" ca="1" si="340"/>
        <v>0.4270000000000001</v>
      </c>
      <c r="T710" s="304">
        <f t="shared" ca="1" si="320"/>
        <v>4.1888700000000014</v>
      </c>
      <c r="U710" s="311">
        <f t="shared" ca="1" si="321"/>
        <v>0</v>
      </c>
      <c r="V710" s="306">
        <f t="shared" ca="1" si="322"/>
        <v>1.2255793920000109</v>
      </c>
      <c r="W710" s="304">
        <f t="shared" ca="1" si="323"/>
        <v>3.5511920178919336</v>
      </c>
      <c r="Y710" s="314" t="str">
        <f t="shared" ca="1" si="341"/>
        <v/>
      </c>
      <c r="Z710" s="315" t="str">
        <f t="shared" ca="1" si="342"/>
        <v/>
      </c>
      <c r="AA710" s="316" t="str">
        <f t="shared" ca="1" si="343"/>
        <v/>
      </c>
      <c r="AC710" s="310" t="e">
        <f t="shared" ca="1" si="344"/>
        <v>#N/A</v>
      </c>
      <c r="AD710" s="323" t="e">
        <f t="shared" ca="1" si="345"/>
        <v>#N/A</v>
      </c>
      <c r="AE710" s="324" t="e">
        <f t="shared" ca="1" si="324"/>
        <v>#N/A</v>
      </c>
      <c r="AG710" s="306">
        <f t="shared" ca="1" si="346"/>
        <v>1.4684609254857044</v>
      </c>
      <c r="AH710" s="304">
        <f t="shared" ca="1" si="347"/>
        <v>-8.3165579312899904</v>
      </c>
    </row>
    <row r="711" spans="1:34" x14ac:dyDescent="0.3">
      <c r="A711" s="347">
        <f t="shared" ca="1" si="325"/>
        <v>1E-4</v>
      </c>
      <c r="B711" s="304">
        <f t="shared" ca="1" si="326"/>
        <v>16.136599999999877</v>
      </c>
      <c r="D711" s="306">
        <f t="shared" ca="1" si="327"/>
        <v>-0.59312762440193534</v>
      </c>
      <c r="E711" s="307">
        <f t="shared" ca="1" si="328"/>
        <v>-1.5145684921156217</v>
      </c>
      <c r="F711" s="304">
        <f t="shared" ca="1" si="329"/>
        <v>1.6265663515940787</v>
      </c>
      <c r="G711" s="306">
        <f t="shared" ca="1" si="330"/>
        <v>3.7325989257943033</v>
      </c>
      <c r="H711" s="307">
        <f t="shared" ca="1" si="331"/>
        <v>-52.204785816123191</v>
      </c>
      <c r="I711" s="304">
        <f t="shared" ca="1" si="332"/>
        <v>52.338054576456486</v>
      </c>
      <c r="J711" s="306">
        <f t="shared" ca="1" si="333"/>
        <v>150.09587023194715</v>
      </c>
      <c r="K711" s="307">
        <f t="shared" ca="1" si="334"/>
        <v>-4.733832830209729</v>
      </c>
      <c r="L711" s="304">
        <f t="shared" ca="1" si="319"/>
        <v>150.1705012109565</v>
      </c>
      <c r="M711" s="306">
        <f t="shared" ca="1" si="335"/>
        <v>-1.4994186208266713</v>
      </c>
      <c r="N711" s="304">
        <f t="shared" ca="1" si="336"/>
        <v>-85.910358696694942</v>
      </c>
      <c r="P711" s="310">
        <f t="shared" ca="1" si="337"/>
        <v>23</v>
      </c>
      <c r="Q711" s="304">
        <f t="shared" ca="1" si="338"/>
        <v>0</v>
      </c>
      <c r="R711" s="306">
        <f t="shared" ca="1" si="339"/>
        <v>0</v>
      </c>
      <c r="S711" s="307">
        <f t="shared" ca="1" si="340"/>
        <v>0.4270000000000001</v>
      </c>
      <c r="T711" s="304">
        <f t="shared" ca="1" si="320"/>
        <v>4.1888700000000014</v>
      </c>
      <c r="U711" s="311">
        <f t="shared" ca="1" si="321"/>
        <v>0</v>
      </c>
      <c r="V711" s="306">
        <f t="shared" ca="1" si="322"/>
        <v>1.225580031810382</v>
      </c>
      <c r="W711" s="304">
        <f t="shared" ca="1" si="323"/>
        <v>3.5512137985265748</v>
      </c>
      <c r="Y711" s="314" t="str">
        <f t="shared" ca="1" si="341"/>
        <v/>
      </c>
      <c r="Z711" s="315" t="str">
        <f t="shared" ca="1" si="342"/>
        <v/>
      </c>
      <c r="AA711" s="316" t="str">
        <f t="shared" ca="1" si="343"/>
        <v/>
      </c>
      <c r="AC711" s="310" t="e">
        <f t="shared" ca="1" si="344"/>
        <v>#N/A</v>
      </c>
      <c r="AD711" s="323" t="e">
        <f t="shared" ca="1" si="345"/>
        <v>#N/A</v>
      </c>
      <c r="AE711" s="324" t="e">
        <f t="shared" ca="1" si="324"/>
        <v>#N/A</v>
      </c>
      <c r="AG711" s="306">
        <f t="shared" ca="1" si="346"/>
        <v>1.4684108508480271</v>
      </c>
      <c r="AH711" s="304">
        <f t="shared" ca="1" si="347"/>
        <v>-8.3166089411989059</v>
      </c>
    </row>
    <row r="712" spans="1:34" x14ac:dyDescent="0.3">
      <c r="A712" s="347">
        <f t="shared" ca="1" si="325"/>
        <v>1E-4</v>
      </c>
      <c r="B712" s="304">
        <f t="shared" ca="1" si="326"/>
        <v>16.136699999999877</v>
      </c>
      <c r="D712" s="306">
        <f t="shared" ca="1" si="327"/>
        <v>-0.59312017318373433</v>
      </c>
      <c r="E712" s="307">
        <f t="shared" ca="1" si="328"/>
        <v>-1.5145168206253015</v>
      </c>
      <c r="F712" s="304">
        <f t="shared" ca="1" si="329"/>
        <v>1.6265155209202506</v>
      </c>
      <c r="G712" s="306">
        <f t="shared" ca="1" si="330"/>
        <v>3.7325396137769848</v>
      </c>
      <c r="H712" s="307">
        <f t="shared" ca="1" si="331"/>
        <v>-52.204937267805256</v>
      </c>
      <c r="I712" s="304">
        <f t="shared" ca="1" si="332"/>
        <v>52.338201412581007</v>
      </c>
      <c r="J712" s="306">
        <f t="shared" ca="1" si="333"/>
        <v>150.09587023194715</v>
      </c>
      <c r="K712" s="307">
        <f t="shared" ca="1" si="334"/>
        <v>-4.7390533163639255</v>
      </c>
      <c r="L712" s="304">
        <f t="shared" ca="1" si="319"/>
        <v>150.17066586727535</v>
      </c>
      <c r="M712" s="306">
        <f t="shared" ca="1" si="335"/>
        <v>-1.4994199575575002</v>
      </c>
      <c r="N712" s="304">
        <f t="shared" ca="1" si="336"/>
        <v>-85.91043528572979</v>
      </c>
      <c r="P712" s="310">
        <f t="shared" ca="1" si="337"/>
        <v>23</v>
      </c>
      <c r="Q712" s="304">
        <f t="shared" ca="1" si="338"/>
        <v>0</v>
      </c>
      <c r="R712" s="306">
        <f t="shared" ca="1" si="339"/>
        <v>0</v>
      </c>
      <c r="S712" s="307">
        <f t="shared" ca="1" si="340"/>
        <v>0.4270000000000001</v>
      </c>
      <c r="T712" s="304">
        <f t="shared" ca="1" si="320"/>
        <v>4.1888700000000014</v>
      </c>
      <c r="U712" s="311">
        <f t="shared" ca="1" si="321"/>
        <v>0</v>
      </c>
      <c r="V712" s="306">
        <f t="shared" ca="1" si="322"/>
        <v>1.2255806716229438</v>
      </c>
      <c r="W712" s="304">
        <f t="shared" ca="1" si="323"/>
        <v>3.5512355785647669</v>
      </c>
      <c r="Y712" s="314" t="str">
        <f t="shared" ca="1" si="341"/>
        <v/>
      </c>
      <c r="Z712" s="315" t="str">
        <f t="shared" ca="1" si="342"/>
        <v/>
      </c>
      <c r="AA712" s="316" t="str">
        <f t="shared" ca="1" si="343"/>
        <v/>
      </c>
      <c r="AC712" s="310" t="e">
        <f t="shared" ca="1" si="344"/>
        <v>#N/A</v>
      </c>
      <c r="AD712" s="323" t="e">
        <f t="shared" ca="1" si="345"/>
        <v>#N/A</v>
      </c>
      <c r="AE712" s="324" t="e">
        <f t="shared" ca="1" si="324"/>
        <v>#N/A</v>
      </c>
      <c r="AG712" s="306">
        <f t="shared" ca="1" si="346"/>
        <v>1.468360777569627</v>
      </c>
      <c r="AH712" s="304">
        <f t="shared" ca="1" si="347"/>
        <v>-8.3166599497109459</v>
      </c>
    </row>
    <row r="713" spans="1:34" x14ac:dyDescent="0.3">
      <c r="A713" s="347">
        <f t="shared" ca="1" si="325"/>
        <v>1E-4</v>
      </c>
      <c r="B713" s="304">
        <f t="shared" ca="1" si="326"/>
        <v>16.136799999999877</v>
      </c>
      <c r="D713" s="306">
        <f t="shared" ca="1" si="327"/>
        <v>-0.59311272196726139</v>
      </c>
      <c r="E713" s="307">
        <f t="shared" ca="1" si="328"/>
        <v>-1.5144651505504054</v>
      </c>
      <c r="F713" s="304">
        <f t="shared" ca="1" si="329"/>
        <v>1.6264646916521355</v>
      </c>
      <c r="G713" s="306">
        <f t="shared" ca="1" si="330"/>
        <v>3.7324803025047881</v>
      </c>
      <c r="H713" s="307">
        <f t="shared" ca="1" si="331"/>
        <v>-52.205088714320311</v>
      </c>
      <c r="I713" s="304">
        <f t="shared" ca="1" si="332"/>
        <v>52.338348243698327</v>
      </c>
      <c r="J713" s="306">
        <f t="shared" ca="1" si="333"/>
        <v>150.09587023194715</v>
      </c>
      <c r="K713" s="307">
        <f t="shared" ca="1" si="334"/>
        <v>-4.7442738176630321</v>
      </c>
      <c r="L713" s="304">
        <f t="shared" ca="1" si="319"/>
        <v>150.17083070537527</v>
      </c>
      <c r="M713" s="306">
        <f t="shared" ca="1" si="335"/>
        <v>-1.4994212942595879</v>
      </c>
      <c r="N713" s="304">
        <f t="shared" ca="1" si="336"/>
        <v>-85.910511873117883</v>
      </c>
      <c r="P713" s="310">
        <f t="shared" ca="1" si="337"/>
        <v>23</v>
      </c>
      <c r="Q713" s="304">
        <f t="shared" ca="1" si="338"/>
        <v>0</v>
      </c>
      <c r="R713" s="306">
        <f t="shared" ca="1" si="339"/>
        <v>0</v>
      </c>
      <c r="S713" s="307">
        <f t="shared" ca="1" si="340"/>
        <v>0.4270000000000001</v>
      </c>
      <c r="T713" s="304">
        <f t="shared" ca="1" si="320"/>
        <v>4.1888700000000014</v>
      </c>
      <c r="U713" s="311">
        <f t="shared" ca="1" si="321"/>
        <v>0</v>
      </c>
      <c r="V713" s="306">
        <f t="shared" ca="1" si="322"/>
        <v>1.2255813114376952</v>
      </c>
      <c r="W713" s="304">
        <f t="shared" ca="1" si="323"/>
        <v>3.5512573580065148</v>
      </c>
      <c r="Y713" s="314" t="str">
        <f t="shared" ca="1" si="341"/>
        <v/>
      </c>
      <c r="Z713" s="315" t="str">
        <f t="shared" ca="1" si="342"/>
        <v/>
      </c>
      <c r="AA713" s="316" t="str">
        <f t="shared" ca="1" si="343"/>
        <v/>
      </c>
      <c r="AC713" s="310" t="e">
        <f t="shared" ca="1" si="344"/>
        <v>#N/A</v>
      </c>
      <c r="AD713" s="323" t="e">
        <f t="shared" ca="1" si="345"/>
        <v>#N/A</v>
      </c>
      <c r="AE713" s="324" t="e">
        <f t="shared" ca="1" si="324"/>
        <v>#N/A</v>
      </c>
      <c r="AG713" s="306">
        <f t="shared" ca="1" si="346"/>
        <v>1.4683107056504703</v>
      </c>
      <c r="AH713" s="304">
        <f t="shared" ca="1" si="347"/>
        <v>-8.3167109568261495</v>
      </c>
    </row>
    <row r="714" spans="1:34" x14ac:dyDescent="0.3">
      <c r="A714" s="347">
        <f t="shared" ca="1" si="325"/>
        <v>1E-4</v>
      </c>
      <c r="B714" s="304">
        <f t="shared" ca="1" si="326"/>
        <v>16.136899999999876</v>
      </c>
      <c r="D714" s="306">
        <f t="shared" ca="1" si="327"/>
        <v>-0.59310527075252206</v>
      </c>
      <c r="E714" s="307">
        <f t="shared" ca="1" si="328"/>
        <v>-1.5144134818909212</v>
      </c>
      <c r="F714" s="304">
        <f t="shared" ca="1" si="329"/>
        <v>1.6264138637897201</v>
      </c>
      <c r="G714" s="306">
        <f t="shared" ca="1" si="330"/>
        <v>3.7324209919777127</v>
      </c>
      <c r="H714" s="307">
        <f t="shared" ca="1" si="331"/>
        <v>-52.205240155668498</v>
      </c>
      <c r="I714" s="304">
        <f t="shared" ca="1" si="332"/>
        <v>52.338495069808594</v>
      </c>
      <c r="J714" s="306">
        <f t="shared" ca="1" si="333"/>
        <v>150.09587023194715</v>
      </c>
      <c r="K714" s="307">
        <f t="shared" ca="1" si="334"/>
        <v>-4.7494943341065312</v>
      </c>
      <c r="L714" s="304">
        <f t="shared" ca="1" si="319"/>
        <v>150.17099572525723</v>
      </c>
      <c r="M714" s="306">
        <f t="shared" ca="1" si="335"/>
        <v>-1.499422630932935</v>
      </c>
      <c r="N714" s="304">
        <f t="shared" ca="1" si="336"/>
        <v>-85.910588458859252</v>
      </c>
      <c r="P714" s="310">
        <f t="shared" ca="1" si="337"/>
        <v>23</v>
      </c>
      <c r="Q714" s="304">
        <f t="shared" ca="1" si="338"/>
        <v>0</v>
      </c>
      <c r="R714" s="306">
        <f t="shared" ca="1" si="339"/>
        <v>0</v>
      </c>
      <c r="S714" s="307">
        <f t="shared" ca="1" si="340"/>
        <v>0.4270000000000001</v>
      </c>
      <c r="T714" s="304">
        <f t="shared" ca="1" si="320"/>
        <v>4.1888700000000014</v>
      </c>
      <c r="U714" s="311">
        <f t="shared" ca="1" si="321"/>
        <v>0</v>
      </c>
      <c r="V714" s="306">
        <f t="shared" ca="1" si="322"/>
        <v>1.2255819512546378</v>
      </c>
      <c r="W714" s="304">
        <f t="shared" ca="1" si="323"/>
        <v>3.5512791368518366</v>
      </c>
      <c r="Y714" s="314" t="str">
        <f t="shared" ca="1" si="341"/>
        <v/>
      </c>
      <c r="Z714" s="315" t="str">
        <f t="shared" ca="1" si="342"/>
        <v/>
      </c>
      <c r="AA714" s="316" t="str">
        <f t="shared" ca="1" si="343"/>
        <v/>
      </c>
      <c r="AC714" s="310" t="e">
        <f t="shared" ca="1" si="344"/>
        <v>#N/A</v>
      </c>
      <c r="AD714" s="323" t="e">
        <f t="shared" ca="1" si="345"/>
        <v>#N/A</v>
      </c>
      <c r="AE714" s="324" t="e">
        <f t="shared" ca="1" si="324"/>
        <v>#N/A</v>
      </c>
      <c r="AG714" s="306">
        <f t="shared" ca="1" si="346"/>
        <v>1.468260635090548</v>
      </c>
      <c r="AH714" s="304">
        <f t="shared" ca="1" si="347"/>
        <v>-8.316761962544529</v>
      </c>
    </row>
    <row r="715" spans="1:34" x14ac:dyDescent="0.3">
      <c r="A715" s="347">
        <f t="shared" ca="1" si="325"/>
        <v>1E-4</v>
      </c>
      <c r="B715" s="304">
        <f t="shared" ca="1" si="326"/>
        <v>16.136999999999876</v>
      </c>
      <c r="D715" s="306">
        <f t="shared" ca="1" si="327"/>
        <v>-0.59309781953952367</v>
      </c>
      <c r="E715" s="307">
        <f t="shared" ca="1" si="328"/>
        <v>-1.5143618146468096</v>
      </c>
      <c r="F715" s="304">
        <f t="shared" ca="1" si="329"/>
        <v>1.6263630373329676</v>
      </c>
      <c r="G715" s="306">
        <f t="shared" ca="1" si="330"/>
        <v>3.7323616821957586</v>
      </c>
      <c r="H715" s="307">
        <f t="shared" ca="1" si="331"/>
        <v>-52.20539159184996</v>
      </c>
      <c r="I715" s="304">
        <f t="shared" ca="1" si="332"/>
        <v>52.338641890911937</v>
      </c>
      <c r="J715" s="306">
        <f t="shared" ca="1" si="333"/>
        <v>150.09587023194715</v>
      </c>
      <c r="K715" s="307">
        <f t="shared" ca="1" si="334"/>
        <v>-4.7547148656939076</v>
      </c>
      <c r="L715" s="304">
        <f t="shared" ca="1" si="319"/>
        <v>150.1711609269222</v>
      </c>
      <c r="M715" s="306">
        <f t="shared" ca="1" si="335"/>
        <v>-1.4994239675775427</v>
      </c>
      <c r="N715" s="304">
        <f t="shared" ca="1" si="336"/>
        <v>-85.91066504295398</v>
      </c>
      <c r="P715" s="310">
        <f t="shared" ca="1" si="337"/>
        <v>23</v>
      </c>
      <c r="Q715" s="304">
        <f t="shared" ca="1" si="338"/>
        <v>0</v>
      </c>
      <c r="R715" s="306">
        <f t="shared" ca="1" si="339"/>
        <v>0</v>
      </c>
      <c r="S715" s="307">
        <f t="shared" ca="1" si="340"/>
        <v>0.4270000000000001</v>
      </c>
      <c r="T715" s="304">
        <f t="shared" ca="1" si="320"/>
        <v>4.1888700000000014</v>
      </c>
      <c r="U715" s="311">
        <f t="shared" ca="1" si="321"/>
        <v>0</v>
      </c>
      <c r="V715" s="306">
        <f t="shared" ca="1" si="322"/>
        <v>1.2255825910737694</v>
      </c>
      <c r="W715" s="304">
        <f t="shared" ca="1" si="323"/>
        <v>3.5513009151007378</v>
      </c>
      <c r="Y715" s="314" t="str">
        <f t="shared" ca="1" si="341"/>
        <v/>
      </c>
      <c r="Z715" s="315" t="str">
        <f t="shared" ca="1" si="342"/>
        <v/>
      </c>
      <c r="AA715" s="316" t="str">
        <f t="shared" ca="1" si="343"/>
        <v/>
      </c>
      <c r="AC715" s="310" t="e">
        <f t="shared" ca="1" si="344"/>
        <v>#N/A</v>
      </c>
      <c r="AD715" s="323" t="e">
        <f t="shared" ca="1" si="345"/>
        <v>#N/A</v>
      </c>
      <c r="AE715" s="324" t="e">
        <f t="shared" ca="1" si="324"/>
        <v>#N/A</v>
      </c>
      <c r="AG715" s="306">
        <f t="shared" ca="1" si="346"/>
        <v>1.4682105658898177</v>
      </c>
      <c r="AH715" s="304">
        <f t="shared" ca="1" si="347"/>
        <v>-8.3168129668661255</v>
      </c>
    </row>
    <row r="716" spans="1:34" x14ac:dyDescent="0.3">
      <c r="A716" s="347">
        <f t="shared" ca="1" si="325"/>
        <v>1E-4</v>
      </c>
      <c r="B716" s="304">
        <f t="shared" ca="1" si="326"/>
        <v>16.137099999999876</v>
      </c>
      <c r="D716" s="306">
        <f t="shared" ca="1" si="327"/>
        <v>-0.59309036832826789</v>
      </c>
      <c r="E716" s="307">
        <f t="shared" ca="1" si="328"/>
        <v>-1.514310148818053</v>
      </c>
      <c r="F716" s="304">
        <f t="shared" ca="1" si="329"/>
        <v>1.626312212281859</v>
      </c>
      <c r="G716" s="306">
        <f t="shared" ca="1" si="330"/>
        <v>3.7323023731589258</v>
      </c>
      <c r="H716" s="307">
        <f t="shared" ca="1" si="331"/>
        <v>-52.205543022864845</v>
      </c>
      <c r="I716" s="304">
        <f t="shared" ca="1" si="332"/>
        <v>52.338788707008497</v>
      </c>
      <c r="J716" s="306">
        <f t="shared" ca="1" si="333"/>
        <v>150.09587023194715</v>
      </c>
      <c r="K716" s="307">
        <f t="shared" ca="1" si="334"/>
        <v>-4.7599354124246434</v>
      </c>
      <c r="L716" s="304">
        <f t="shared" ca="1" si="319"/>
        <v>150.17132631037114</v>
      </c>
      <c r="M716" s="306">
        <f t="shared" ca="1" si="335"/>
        <v>-1.4994253041934116</v>
      </c>
      <c r="N716" s="304">
        <f t="shared" ca="1" si="336"/>
        <v>-85.910741625402096</v>
      </c>
      <c r="P716" s="310">
        <f t="shared" ca="1" si="337"/>
        <v>23</v>
      </c>
      <c r="Q716" s="304">
        <f t="shared" ca="1" si="338"/>
        <v>0</v>
      </c>
      <c r="R716" s="306">
        <f t="shared" ca="1" si="339"/>
        <v>0</v>
      </c>
      <c r="S716" s="307">
        <f t="shared" ca="1" si="340"/>
        <v>0.4270000000000001</v>
      </c>
      <c r="T716" s="304">
        <f t="shared" ca="1" si="320"/>
        <v>4.1888700000000014</v>
      </c>
      <c r="U716" s="311">
        <f t="shared" ca="1" si="321"/>
        <v>0</v>
      </c>
      <c r="V716" s="306">
        <f t="shared" ca="1" si="322"/>
        <v>1.2255832308950918</v>
      </c>
      <c r="W716" s="304">
        <f t="shared" ca="1" si="323"/>
        <v>3.5513226927532364</v>
      </c>
      <c r="Y716" s="314" t="str">
        <f t="shared" ca="1" si="341"/>
        <v/>
      </c>
      <c r="Z716" s="315" t="str">
        <f t="shared" ca="1" si="342"/>
        <v/>
      </c>
      <c r="AA716" s="316" t="str">
        <f t="shared" ca="1" si="343"/>
        <v/>
      </c>
      <c r="AC716" s="310" t="e">
        <f t="shared" ca="1" si="344"/>
        <v>#N/A</v>
      </c>
      <c r="AD716" s="323" t="e">
        <f t="shared" ca="1" si="345"/>
        <v>#N/A</v>
      </c>
      <c r="AE716" s="324" t="e">
        <f t="shared" ca="1" si="324"/>
        <v>#N/A</v>
      </c>
      <c r="AG716" s="306">
        <f t="shared" ca="1" si="346"/>
        <v>1.4681604980482685</v>
      </c>
      <c r="AH716" s="304">
        <f t="shared" ca="1" si="347"/>
        <v>-8.316863969790953</v>
      </c>
    </row>
    <row r="717" spans="1:34" x14ac:dyDescent="0.3">
      <c r="A717" s="347">
        <f t="shared" ca="1" si="325"/>
        <v>1E-4</v>
      </c>
      <c r="B717" s="304">
        <f t="shared" ca="1" si="326"/>
        <v>16.137199999999876</v>
      </c>
      <c r="D717" s="306">
        <f t="shared" ca="1" si="327"/>
        <v>-0.59308291711876249</v>
      </c>
      <c r="E717" s="307">
        <f t="shared" ca="1" si="328"/>
        <v>-1.5142584844046105</v>
      </c>
      <c r="F717" s="304">
        <f t="shared" ca="1" si="329"/>
        <v>1.6262613886363559</v>
      </c>
      <c r="G717" s="306">
        <f t="shared" ca="1" si="330"/>
        <v>3.7322430648672138</v>
      </c>
      <c r="H717" s="307">
        <f t="shared" ca="1" si="331"/>
        <v>-52.205694448713288</v>
      </c>
      <c r="I717" s="304">
        <f t="shared" ca="1" si="332"/>
        <v>52.338935518098403</v>
      </c>
      <c r="J717" s="306">
        <f t="shared" ca="1" si="333"/>
        <v>150.09587023194715</v>
      </c>
      <c r="K717" s="307">
        <f t="shared" ca="1" si="334"/>
        <v>-4.7651559742982226</v>
      </c>
      <c r="L717" s="304">
        <f t="shared" ca="1" si="319"/>
        <v>150.17149187560503</v>
      </c>
      <c r="M717" s="306">
        <f t="shared" ca="1" si="335"/>
        <v>-1.4994266407805428</v>
      </c>
      <c r="N717" s="304">
        <f t="shared" ca="1" si="336"/>
        <v>-85.910818206203672</v>
      </c>
      <c r="P717" s="310">
        <f t="shared" ca="1" si="337"/>
        <v>23</v>
      </c>
      <c r="Q717" s="304">
        <f t="shared" ca="1" si="338"/>
        <v>0</v>
      </c>
      <c r="R717" s="306">
        <f t="shared" ca="1" si="339"/>
        <v>0</v>
      </c>
      <c r="S717" s="307">
        <f t="shared" ca="1" si="340"/>
        <v>0.4270000000000001</v>
      </c>
      <c r="T717" s="304">
        <f t="shared" ca="1" si="320"/>
        <v>4.1888700000000014</v>
      </c>
      <c r="U717" s="311">
        <f t="shared" ca="1" si="321"/>
        <v>0</v>
      </c>
      <c r="V717" s="306">
        <f t="shared" ca="1" si="322"/>
        <v>1.225583870718604</v>
      </c>
      <c r="W717" s="304">
        <f t="shared" ca="1" si="323"/>
        <v>3.5513444698093384</v>
      </c>
      <c r="Y717" s="314" t="str">
        <f t="shared" ca="1" si="341"/>
        <v/>
      </c>
      <c r="Z717" s="315" t="str">
        <f t="shared" ca="1" si="342"/>
        <v/>
      </c>
      <c r="AA717" s="316" t="str">
        <f t="shared" ca="1" si="343"/>
        <v/>
      </c>
      <c r="AC717" s="310" t="e">
        <f t="shared" ca="1" si="344"/>
        <v>#N/A</v>
      </c>
      <c r="AD717" s="323" t="e">
        <f t="shared" ca="1" si="345"/>
        <v>#N/A</v>
      </c>
      <c r="AE717" s="324" t="e">
        <f t="shared" ca="1" si="324"/>
        <v>#N/A</v>
      </c>
      <c r="AG717" s="306">
        <f t="shared" ca="1" si="346"/>
        <v>1.4681104315658615</v>
      </c>
      <c r="AH717" s="304">
        <f t="shared" ca="1" si="347"/>
        <v>-8.3169149713190524</v>
      </c>
    </row>
    <row r="718" spans="1:34" x14ac:dyDescent="0.3">
      <c r="A718" s="347">
        <f t="shared" ca="1" si="325"/>
        <v>1E-4</v>
      </c>
      <c r="B718" s="304">
        <f t="shared" ca="1" si="326"/>
        <v>16.137299999999875</v>
      </c>
      <c r="D718" s="306">
        <f t="shared" ca="1" si="327"/>
        <v>-0.59307546591100901</v>
      </c>
      <c r="E718" s="307">
        <f t="shared" ca="1" si="328"/>
        <v>-1.5142068214064679</v>
      </c>
      <c r="F718" s="304">
        <f t="shared" ca="1" si="329"/>
        <v>1.6262105663964428</v>
      </c>
      <c r="G718" s="306">
        <f t="shared" ca="1" si="330"/>
        <v>3.7321837573206227</v>
      </c>
      <c r="H718" s="307">
        <f t="shared" ca="1" si="331"/>
        <v>-52.205845869395432</v>
      </c>
      <c r="I718" s="304">
        <f t="shared" ca="1" si="332"/>
        <v>52.339082324181803</v>
      </c>
      <c r="J718" s="306">
        <f t="shared" ca="1" si="333"/>
        <v>150.09587023194715</v>
      </c>
      <c r="K718" s="307">
        <f t="shared" ca="1" si="334"/>
        <v>-4.7703765513141283</v>
      </c>
      <c r="L718" s="304">
        <f t="shared" ca="1" si="319"/>
        <v>150.17165762262479</v>
      </c>
      <c r="M718" s="306">
        <f t="shared" ca="1" si="335"/>
        <v>-1.4994279773389365</v>
      </c>
      <c r="N718" s="304">
        <f t="shared" ca="1" si="336"/>
        <v>-85.910894785358707</v>
      </c>
      <c r="P718" s="310">
        <f t="shared" ca="1" si="337"/>
        <v>23</v>
      </c>
      <c r="Q718" s="304">
        <f t="shared" ca="1" si="338"/>
        <v>0</v>
      </c>
      <c r="R718" s="306">
        <f t="shared" ca="1" si="339"/>
        <v>0</v>
      </c>
      <c r="S718" s="307">
        <f t="shared" ca="1" si="340"/>
        <v>0.4270000000000001</v>
      </c>
      <c r="T718" s="304">
        <f t="shared" ca="1" si="320"/>
        <v>4.1888700000000014</v>
      </c>
      <c r="U718" s="311">
        <f t="shared" ca="1" si="321"/>
        <v>0</v>
      </c>
      <c r="V718" s="306">
        <f t="shared" ca="1" si="322"/>
        <v>1.2255845105443057</v>
      </c>
      <c r="W718" s="304">
        <f t="shared" ca="1" si="323"/>
        <v>3.5513662462690592</v>
      </c>
      <c r="Y718" s="314" t="str">
        <f t="shared" ca="1" si="341"/>
        <v/>
      </c>
      <c r="Z718" s="315" t="str">
        <f t="shared" ca="1" si="342"/>
        <v/>
      </c>
      <c r="AA718" s="316" t="str">
        <f t="shared" ca="1" si="343"/>
        <v/>
      </c>
      <c r="AC718" s="310" t="e">
        <f t="shared" ca="1" si="344"/>
        <v>#N/A</v>
      </c>
      <c r="AD718" s="323" t="e">
        <f t="shared" ca="1" si="345"/>
        <v>#N/A</v>
      </c>
      <c r="AE718" s="324" t="e">
        <f t="shared" ca="1" si="324"/>
        <v>#N/A</v>
      </c>
      <c r="AG718" s="306">
        <f t="shared" ca="1" si="346"/>
        <v>1.4680603664425806</v>
      </c>
      <c r="AH718" s="304">
        <f t="shared" ca="1" si="347"/>
        <v>-8.3169659714504398</v>
      </c>
    </row>
    <row r="719" spans="1:34" x14ac:dyDescent="0.3">
      <c r="A719" s="347">
        <f t="shared" ca="1" si="325"/>
        <v>1E-4</v>
      </c>
      <c r="B719" s="304">
        <f t="shared" ca="1" si="326"/>
        <v>16.137399999999875</v>
      </c>
      <c r="D719" s="306">
        <f t="shared" ca="1" si="327"/>
        <v>-0.59306801470501858</v>
      </c>
      <c r="E719" s="307">
        <f t="shared" ca="1" si="328"/>
        <v>-1.5141551598235878</v>
      </c>
      <c r="F719" s="304">
        <f t="shared" ca="1" si="329"/>
        <v>1.6261597455620855</v>
      </c>
      <c r="G719" s="306">
        <f t="shared" ca="1" si="330"/>
        <v>3.732124450519152</v>
      </c>
      <c r="H719" s="307">
        <f t="shared" ca="1" si="331"/>
        <v>-52.205997284911412</v>
      </c>
      <c r="I719" s="304">
        <f t="shared" ca="1" si="332"/>
        <v>52.339229125258818</v>
      </c>
      <c r="J719" s="306">
        <f t="shared" ca="1" si="333"/>
        <v>150.09587023194715</v>
      </c>
      <c r="K719" s="307">
        <f t="shared" ca="1" si="334"/>
        <v>-4.7755971434718436</v>
      </c>
      <c r="L719" s="304">
        <f t="shared" ca="1" si="319"/>
        <v>150.1718235514314</v>
      </c>
      <c r="M719" s="306">
        <f t="shared" ca="1" si="335"/>
        <v>-1.4994293138685943</v>
      </c>
      <c r="N719" s="304">
        <f t="shared" ca="1" si="336"/>
        <v>-85.910971362867286</v>
      </c>
      <c r="P719" s="310">
        <f t="shared" ca="1" si="337"/>
        <v>23</v>
      </c>
      <c r="Q719" s="304">
        <f t="shared" ca="1" si="338"/>
        <v>0</v>
      </c>
      <c r="R719" s="306">
        <f t="shared" ca="1" si="339"/>
        <v>0</v>
      </c>
      <c r="S719" s="307">
        <f t="shared" ca="1" si="340"/>
        <v>0.4270000000000001</v>
      </c>
      <c r="T719" s="304">
        <f t="shared" ca="1" si="320"/>
        <v>4.1888700000000014</v>
      </c>
      <c r="U719" s="311">
        <f t="shared" ca="1" si="321"/>
        <v>0</v>
      </c>
      <c r="V719" s="306">
        <f t="shared" ca="1" si="322"/>
        <v>1.2255851503721977</v>
      </c>
      <c r="W719" s="304">
        <f t="shared" ca="1" si="323"/>
        <v>3.5513880221324094</v>
      </c>
      <c r="Y719" s="314" t="str">
        <f t="shared" ca="1" si="341"/>
        <v/>
      </c>
      <c r="Z719" s="315" t="str">
        <f t="shared" ca="1" si="342"/>
        <v/>
      </c>
      <c r="AA719" s="316" t="str">
        <f t="shared" ca="1" si="343"/>
        <v/>
      </c>
      <c r="AC719" s="310" t="e">
        <f t="shared" ca="1" si="344"/>
        <v>#N/A</v>
      </c>
      <c r="AD719" s="323" t="e">
        <f t="shared" ca="1" si="345"/>
        <v>#N/A</v>
      </c>
      <c r="AE719" s="324" t="e">
        <f t="shared" ca="1" si="324"/>
        <v>#N/A</v>
      </c>
      <c r="AG719" s="306">
        <f t="shared" ca="1" si="346"/>
        <v>1.4680103026783957</v>
      </c>
      <c r="AH719" s="304">
        <f t="shared" ca="1" si="347"/>
        <v>-8.3170169701851488</v>
      </c>
    </row>
    <row r="720" spans="1:34" x14ac:dyDescent="0.3">
      <c r="A720" s="347">
        <f t="shared" ca="1" si="325"/>
        <v>1E-4</v>
      </c>
      <c r="B720" s="304">
        <f t="shared" ca="1" si="326"/>
        <v>16.137499999999875</v>
      </c>
      <c r="D720" s="306">
        <f t="shared" ca="1" si="327"/>
        <v>-0.59306056350078962</v>
      </c>
      <c r="E720" s="307">
        <f t="shared" ca="1" si="328"/>
        <v>-1.514103499655949</v>
      </c>
      <c r="F720" s="304">
        <f t="shared" ca="1" si="329"/>
        <v>1.6261089261332609</v>
      </c>
      <c r="G720" s="306">
        <f t="shared" ca="1" si="330"/>
        <v>3.7320651444628017</v>
      </c>
      <c r="H720" s="307">
        <f t="shared" ca="1" si="331"/>
        <v>-52.206148695261376</v>
      </c>
      <c r="I720" s="304">
        <f t="shared" ca="1" si="332"/>
        <v>52.339375921329591</v>
      </c>
      <c r="J720" s="306">
        <f t="shared" ca="1" si="333"/>
        <v>150.09587023194715</v>
      </c>
      <c r="K720" s="307">
        <f t="shared" ca="1" si="334"/>
        <v>-4.7808177507708525</v>
      </c>
      <c r="L720" s="304">
        <f t="shared" ca="1" si="319"/>
        <v>150.17198966202588</v>
      </c>
      <c r="M720" s="306">
        <f t="shared" ca="1" si="335"/>
        <v>-1.4994306503695165</v>
      </c>
      <c r="N720" s="304">
        <f t="shared" ca="1" si="336"/>
        <v>-85.911047938729453</v>
      </c>
      <c r="P720" s="310">
        <f t="shared" ca="1" si="337"/>
        <v>23</v>
      </c>
      <c r="Q720" s="304">
        <f t="shared" ca="1" si="338"/>
        <v>0</v>
      </c>
      <c r="R720" s="306">
        <f t="shared" ca="1" si="339"/>
        <v>0</v>
      </c>
      <c r="S720" s="307">
        <f t="shared" ca="1" si="340"/>
        <v>0.4270000000000001</v>
      </c>
      <c r="T720" s="304">
        <f t="shared" ca="1" si="320"/>
        <v>4.1888700000000014</v>
      </c>
      <c r="U720" s="311">
        <f t="shared" ca="1" si="321"/>
        <v>0</v>
      </c>
      <c r="V720" s="306">
        <f t="shared" ca="1" si="322"/>
        <v>1.2255857902022795</v>
      </c>
      <c r="W720" s="304">
        <f t="shared" ca="1" si="323"/>
        <v>3.5514097973994003</v>
      </c>
      <c r="Y720" s="314" t="str">
        <f t="shared" ca="1" si="341"/>
        <v/>
      </c>
      <c r="Z720" s="315" t="str">
        <f t="shared" ca="1" si="342"/>
        <v/>
      </c>
      <c r="AA720" s="316" t="str">
        <f t="shared" ca="1" si="343"/>
        <v/>
      </c>
      <c r="AC720" s="310" t="e">
        <f t="shared" ca="1" si="344"/>
        <v>#N/A</v>
      </c>
      <c r="AD720" s="323" t="e">
        <f t="shared" ca="1" si="345"/>
        <v>#N/A</v>
      </c>
      <c r="AE720" s="324" t="e">
        <f t="shared" ca="1" si="324"/>
        <v>#N/A</v>
      </c>
      <c r="AG720" s="306">
        <f t="shared" ca="1" si="346"/>
        <v>1.4679602402732819</v>
      </c>
      <c r="AH720" s="304">
        <f t="shared" ca="1" si="347"/>
        <v>-8.3170679675232044</v>
      </c>
    </row>
    <row r="721" spans="1:34" x14ac:dyDescent="0.3">
      <c r="A721" s="347">
        <f t="shared" ca="1" si="325"/>
        <v>1E-4</v>
      </c>
      <c r="B721" s="304">
        <f t="shared" ca="1" si="326"/>
        <v>16.137599999999875</v>
      </c>
      <c r="D721" s="306">
        <f t="shared" ca="1" si="327"/>
        <v>-0.59305311229833269</v>
      </c>
      <c r="E721" s="307">
        <f t="shared" ca="1" si="328"/>
        <v>-1.5140518409035195</v>
      </c>
      <c r="F721" s="304">
        <f t="shared" ca="1" si="329"/>
        <v>1.6260581081099394</v>
      </c>
      <c r="G721" s="306">
        <f t="shared" ca="1" si="330"/>
        <v>3.7320058391515718</v>
      </c>
      <c r="H721" s="307">
        <f t="shared" ca="1" si="331"/>
        <v>-52.206300100445468</v>
      </c>
      <c r="I721" s="304">
        <f t="shared" ca="1" si="332"/>
        <v>52.339522712394256</v>
      </c>
      <c r="J721" s="306">
        <f t="shared" ca="1" si="333"/>
        <v>150.09587023194715</v>
      </c>
      <c r="K721" s="307">
        <f t="shared" ca="1" si="334"/>
        <v>-4.786038373210638</v>
      </c>
      <c r="L721" s="304">
        <f t="shared" ca="1" si="319"/>
        <v>150.17215595440908</v>
      </c>
      <c r="M721" s="306">
        <f t="shared" ca="1" si="335"/>
        <v>-1.4994319868417041</v>
      </c>
      <c r="N721" s="304">
        <f t="shared" ca="1" si="336"/>
        <v>-85.911124512945236</v>
      </c>
      <c r="P721" s="310">
        <f t="shared" ca="1" si="337"/>
        <v>23</v>
      </c>
      <c r="Q721" s="304">
        <f t="shared" ca="1" si="338"/>
        <v>0</v>
      </c>
      <c r="R721" s="306">
        <f t="shared" ca="1" si="339"/>
        <v>0</v>
      </c>
      <c r="S721" s="307">
        <f t="shared" ca="1" si="340"/>
        <v>0.4270000000000001</v>
      </c>
      <c r="T721" s="304">
        <f t="shared" ca="1" si="320"/>
        <v>4.1888700000000014</v>
      </c>
      <c r="U721" s="311">
        <f t="shared" ca="1" si="321"/>
        <v>0</v>
      </c>
      <c r="V721" s="306">
        <f t="shared" ca="1" si="322"/>
        <v>1.2255864300345509</v>
      </c>
      <c r="W721" s="304">
        <f t="shared" ca="1" si="323"/>
        <v>3.5514315720700438</v>
      </c>
      <c r="Y721" s="314" t="str">
        <f t="shared" ca="1" si="341"/>
        <v/>
      </c>
      <c r="Z721" s="315" t="str">
        <f t="shared" ca="1" si="342"/>
        <v/>
      </c>
      <c r="AA721" s="316" t="str">
        <f t="shared" ca="1" si="343"/>
        <v/>
      </c>
      <c r="AC721" s="310" t="e">
        <f t="shared" ca="1" si="344"/>
        <v>#N/A</v>
      </c>
      <c r="AD721" s="323" t="e">
        <f t="shared" ca="1" si="345"/>
        <v>#N/A</v>
      </c>
      <c r="AE721" s="324" t="e">
        <f t="shared" ca="1" si="324"/>
        <v>#N/A</v>
      </c>
      <c r="AG721" s="306">
        <f t="shared" ca="1" si="346"/>
        <v>1.467910179227216</v>
      </c>
      <c r="AH721" s="304">
        <f t="shared" ca="1" si="347"/>
        <v>-8.317118963464635</v>
      </c>
    </row>
    <row r="722" spans="1:34" x14ac:dyDescent="0.3">
      <c r="A722" s="347">
        <f t="shared" ca="1" si="325"/>
        <v>1E-4</v>
      </c>
      <c r="B722" s="304">
        <f t="shared" ca="1" si="326"/>
        <v>16.137699999999874</v>
      </c>
      <c r="D722" s="306">
        <f t="shared" ca="1" si="327"/>
        <v>-0.59304566109765033</v>
      </c>
      <c r="E722" s="307">
        <f t="shared" ca="1" si="328"/>
        <v>-1.5140001835662709</v>
      </c>
      <c r="F722" s="304">
        <f t="shared" ca="1" si="329"/>
        <v>1.6260072914920924</v>
      </c>
      <c r="G722" s="306">
        <f t="shared" ca="1" si="330"/>
        <v>3.7319465345854619</v>
      </c>
      <c r="H722" s="307">
        <f t="shared" ca="1" si="331"/>
        <v>-52.206451500463821</v>
      </c>
      <c r="I722" s="304">
        <f t="shared" ca="1" si="332"/>
        <v>52.339669498452942</v>
      </c>
      <c r="J722" s="306">
        <f t="shared" ca="1" si="333"/>
        <v>150.09587023194715</v>
      </c>
      <c r="K722" s="307">
        <f t="shared" ca="1" si="334"/>
        <v>-4.7912590107906832</v>
      </c>
      <c r="L722" s="304">
        <f t="shared" ca="1" si="319"/>
        <v>150.17232242858202</v>
      </c>
      <c r="M722" s="306">
        <f t="shared" ca="1" si="335"/>
        <v>-1.4994333232851578</v>
      </c>
      <c r="N722" s="304">
        <f t="shared" ca="1" si="336"/>
        <v>-85.911201085514691</v>
      </c>
      <c r="P722" s="310">
        <f t="shared" ca="1" si="337"/>
        <v>23</v>
      </c>
      <c r="Q722" s="304">
        <f t="shared" ca="1" si="338"/>
        <v>0</v>
      </c>
      <c r="R722" s="306">
        <f t="shared" ca="1" si="339"/>
        <v>0</v>
      </c>
      <c r="S722" s="307">
        <f t="shared" ca="1" si="340"/>
        <v>0.4270000000000001</v>
      </c>
      <c r="T722" s="304">
        <f t="shared" ca="1" si="320"/>
        <v>4.1888700000000014</v>
      </c>
      <c r="U722" s="311">
        <f t="shared" ca="1" si="321"/>
        <v>0</v>
      </c>
      <c r="V722" s="306">
        <f t="shared" ca="1" si="322"/>
        <v>1.2255870698690121</v>
      </c>
      <c r="W722" s="304">
        <f t="shared" ca="1" si="323"/>
        <v>3.5514533461443505</v>
      </c>
      <c r="Y722" s="314" t="str">
        <f t="shared" ca="1" si="341"/>
        <v/>
      </c>
      <c r="Z722" s="315" t="str">
        <f t="shared" ca="1" si="342"/>
        <v/>
      </c>
      <c r="AA722" s="316" t="str">
        <f t="shared" ca="1" si="343"/>
        <v/>
      </c>
      <c r="AC722" s="310" t="e">
        <f t="shared" ca="1" si="344"/>
        <v>#N/A</v>
      </c>
      <c r="AD722" s="323" t="e">
        <f t="shared" ca="1" si="345"/>
        <v>#N/A</v>
      </c>
      <c r="AE722" s="324" t="e">
        <f t="shared" ca="1" si="324"/>
        <v>#N/A</v>
      </c>
      <c r="AG722" s="306">
        <f t="shared" ca="1" si="346"/>
        <v>1.4678601195401679</v>
      </c>
      <c r="AH722" s="304">
        <f t="shared" ca="1" si="347"/>
        <v>-8.3171699580094689</v>
      </c>
    </row>
    <row r="723" spans="1:34" x14ac:dyDescent="0.3">
      <c r="A723" s="347">
        <f t="shared" ca="1" si="325"/>
        <v>1E-4</v>
      </c>
      <c r="B723" s="304">
        <f t="shared" ca="1" si="326"/>
        <v>16.137799999999874</v>
      </c>
      <c r="D723" s="306">
        <f t="shared" ca="1" si="327"/>
        <v>-0.593038209898749</v>
      </c>
      <c r="E723" s="307">
        <f t="shared" ca="1" si="328"/>
        <v>-1.5139485276441818</v>
      </c>
      <c r="F723" s="304">
        <f t="shared" ca="1" si="329"/>
        <v>1.6259564762797001</v>
      </c>
      <c r="G723" s="306">
        <f t="shared" ca="1" si="330"/>
        <v>3.7318872307644719</v>
      </c>
      <c r="H723" s="307">
        <f t="shared" ca="1" si="331"/>
        <v>-52.206602895316585</v>
      </c>
      <c r="I723" s="304">
        <f t="shared" ca="1" si="332"/>
        <v>52.339816279505804</v>
      </c>
      <c r="J723" s="306">
        <f t="shared" ca="1" si="333"/>
        <v>150.09587023194715</v>
      </c>
      <c r="K723" s="307">
        <f t="shared" ca="1" si="334"/>
        <v>-4.7964796635104721</v>
      </c>
      <c r="L723" s="304">
        <f t="shared" ca="1" si="319"/>
        <v>150.17248908454567</v>
      </c>
      <c r="M723" s="306">
        <f t="shared" ca="1" si="335"/>
        <v>-1.4994346596998787</v>
      </c>
      <c r="N723" s="304">
        <f t="shared" ca="1" si="336"/>
        <v>-85.911277656437875</v>
      </c>
      <c r="P723" s="310">
        <f t="shared" ca="1" si="337"/>
        <v>23</v>
      </c>
      <c r="Q723" s="304">
        <f t="shared" ca="1" si="338"/>
        <v>0</v>
      </c>
      <c r="R723" s="306">
        <f t="shared" ca="1" si="339"/>
        <v>0</v>
      </c>
      <c r="S723" s="307">
        <f t="shared" ca="1" si="340"/>
        <v>0.4270000000000001</v>
      </c>
      <c r="T723" s="304">
        <f t="shared" ca="1" si="320"/>
        <v>4.1888700000000014</v>
      </c>
      <c r="U723" s="311">
        <f t="shared" ca="1" si="321"/>
        <v>0</v>
      </c>
      <c r="V723" s="306">
        <f t="shared" ca="1" si="322"/>
        <v>1.2255877097056627</v>
      </c>
      <c r="W723" s="304">
        <f t="shared" ca="1" si="323"/>
        <v>3.5514751196223333</v>
      </c>
      <c r="Y723" s="314" t="str">
        <f t="shared" ca="1" si="341"/>
        <v/>
      </c>
      <c r="Z723" s="315" t="str">
        <f t="shared" ca="1" si="342"/>
        <v/>
      </c>
      <c r="AA723" s="316" t="str">
        <f t="shared" ca="1" si="343"/>
        <v/>
      </c>
      <c r="AC723" s="310" t="e">
        <f t="shared" ca="1" si="344"/>
        <v>#N/A</v>
      </c>
      <c r="AD723" s="323" t="e">
        <f t="shared" ca="1" si="345"/>
        <v>#N/A</v>
      </c>
      <c r="AE723" s="324" t="e">
        <f t="shared" ca="1" si="324"/>
        <v>#N/A</v>
      </c>
      <c r="AG723" s="306">
        <f t="shared" ca="1" si="346"/>
        <v>1.4678100612121181</v>
      </c>
      <c r="AH723" s="304">
        <f t="shared" ca="1" si="347"/>
        <v>-8.3172209511577275</v>
      </c>
    </row>
    <row r="724" spans="1:34" x14ac:dyDescent="0.3">
      <c r="A724" s="347">
        <f t="shared" ca="1" si="325"/>
        <v>1E-4</v>
      </c>
      <c r="B724" s="304">
        <f t="shared" ca="1" si="326"/>
        <v>16.137899999999874</v>
      </c>
      <c r="D724" s="306">
        <f t="shared" ca="1" si="327"/>
        <v>-0.59303075870163158</v>
      </c>
      <c r="E724" s="307">
        <f t="shared" ca="1" si="328"/>
        <v>-1.513896873137222</v>
      </c>
      <c r="F724" s="304">
        <f t="shared" ca="1" si="329"/>
        <v>1.6259056624727313</v>
      </c>
      <c r="G724" s="306">
        <f t="shared" ca="1" si="330"/>
        <v>3.7318279276886019</v>
      </c>
      <c r="H724" s="307">
        <f t="shared" ca="1" si="331"/>
        <v>-52.206754285003896</v>
      </c>
      <c r="I724" s="304">
        <f t="shared" ca="1" si="332"/>
        <v>52.339963055552964</v>
      </c>
      <c r="J724" s="306">
        <f t="shared" ca="1" si="333"/>
        <v>150.09587023194715</v>
      </c>
      <c r="K724" s="307">
        <f t="shared" ca="1" si="334"/>
        <v>-4.8017003313694877</v>
      </c>
      <c r="L724" s="304">
        <f t="shared" ca="1" si="319"/>
        <v>150.17265592230095</v>
      </c>
      <c r="M724" s="306">
        <f t="shared" ca="1" si="335"/>
        <v>-1.4994359960858672</v>
      </c>
      <c r="N724" s="304">
        <f t="shared" ca="1" si="336"/>
        <v>-85.911354225714817</v>
      </c>
      <c r="P724" s="310">
        <f t="shared" ca="1" si="337"/>
        <v>23</v>
      </c>
      <c r="Q724" s="304">
        <f t="shared" ca="1" si="338"/>
        <v>0</v>
      </c>
      <c r="R724" s="306">
        <f t="shared" ca="1" si="339"/>
        <v>0</v>
      </c>
      <c r="S724" s="307">
        <f t="shared" ca="1" si="340"/>
        <v>0.4270000000000001</v>
      </c>
      <c r="T724" s="304">
        <f t="shared" ca="1" si="320"/>
        <v>4.1888700000000014</v>
      </c>
      <c r="U724" s="311">
        <f t="shared" ca="1" si="321"/>
        <v>0</v>
      </c>
      <c r="V724" s="306">
        <f t="shared" ca="1" si="322"/>
        <v>1.225588349544503</v>
      </c>
      <c r="W724" s="304">
        <f t="shared" ca="1" si="323"/>
        <v>3.5514968925040051</v>
      </c>
      <c r="Y724" s="314" t="str">
        <f t="shared" ca="1" si="341"/>
        <v/>
      </c>
      <c r="Z724" s="315" t="str">
        <f t="shared" ca="1" si="342"/>
        <v/>
      </c>
      <c r="AA724" s="316" t="str">
        <f t="shared" ca="1" si="343"/>
        <v/>
      </c>
      <c r="AC724" s="310" t="e">
        <f t="shared" ca="1" si="344"/>
        <v>#N/A</v>
      </c>
      <c r="AD724" s="323" t="e">
        <f t="shared" ca="1" si="345"/>
        <v>#N/A</v>
      </c>
      <c r="AE724" s="324" t="e">
        <f t="shared" ca="1" si="324"/>
        <v>#N/A</v>
      </c>
      <c r="AG724" s="306">
        <f t="shared" ca="1" si="346"/>
        <v>1.4677600042430381</v>
      </c>
      <c r="AH724" s="304">
        <f t="shared" ca="1" si="347"/>
        <v>-8.3172719429094428</v>
      </c>
    </row>
    <row r="725" spans="1:34" x14ac:dyDescent="0.3">
      <c r="A725" s="347">
        <f t="shared" ca="1" si="325"/>
        <v>1E-4</v>
      </c>
      <c r="B725" s="304">
        <f t="shared" ca="1" si="326"/>
        <v>16.137999999999874</v>
      </c>
      <c r="D725" s="306">
        <f t="shared" ca="1" si="327"/>
        <v>-0.59302330750630661</v>
      </c>
      <c r="E725" s="307">
        <f t="shared" ca="1" si="328"/>
        <v>-1.513845220045356</v>
      </c>
      <c r="F725" s="304">
        <f t="shared" ca="1" si="329"/>
        <v>1.6258548500711534</v>
      </c>
      <c r="G725" s="306">
        <f t="shared" ca="1" si="330"/>
        <v>3.7317686253578515</v>
      </c>
      <c r="H725" s="307">
        <f t="shared" ca="1" si="331"/>
        <v>-52.206905669525902</v>
      </c>
      <c r="I725" s="304">
        <f t="shared" ca="1" si="332"/>
        <v>52.340109826594563</v>
      </c>
      <c r="J725" s="306">
        <f t="shared" ca="1" si="333"/>
        <v>150.09587023194715</v>
      </c>
      <c r="K725" s="307">
        <f t="shared" ca="1" si="334"/>
        <v>-4.8069210143672141</v>
      </c>
      <c r="L725" s="304">
        <f t="shared" ca="1" si="319"/>
        <v>150.17282294184884</v>
      </c>
      <c r="M725" s="306">
        <f t="shared" ca="1" si="335"/>
        <v>-1.4994373324431245</v>
      </c>
      <c r="N725" s="304">
        <f t="shared" ca="1" si="336"/>
        <v>-85.911430793345588</v>
      </c>
      <c r="P725" s="310">
        <f t="shared" ca="1" si="337"/>
        <v>23</v>
      </c>
      <c r="Q725" s="304">
        <f t="shared" ca="1" si="338"/>
        <v>0</v>
      </c>
      <c r="R725" s="306">
        <f t="shared" ca="1" si="339"/>
        <v>0</v>
      </c>
      <c r="S725" s="307">
        <f t="shared" ca="1" si="340"/>
        <v>0.4270000000000001</v>
      </c>
      <c r="T725" s="304">
        <f t="shared" ca="1" si="320"/>
        <v>4.1888700000000014</v>
      </c>
      <c r="U725" s="311">
        <f t="shared" ca="1" si="321"/>
        <v>0</v>
      </c>
      <c r="V725" s="306">
        <f t="shared" ca="1" si="322"/>
        <v>1.2255889893855325</v>
      </c>
      <c r="W725" s="304">
        <f t="shared" ca="1" si="323"/>
        <v>3.5515186647893744</v>
      </c>
      <c r="Y725" s="314" t="str">
        <f t="shared" ca="1" si="341"/>
        <v/>
      </c>
      <c r="Z725" s="315" t="str">
        <f t="shared" ca="1" si="342"/>
        <v/>
      </c>
      <c r="AA725" s="316" t="str">
        <f t="shared" ca="1" si="343"/>
        <v/>
      </c>
      <c r="AC725" s="310" t="e">
        <f t="shared" ca="1" si="344"/>
        <v>#N/A</v>
      </c>
      <c r="AD725" s="323" t="e">
        <f t="shared" ca="1" si="345"/>
        <v>#N/A</v>
      </c>
      <c r="AE725" s="324" t="e">
        <f t="shared" ca="1" si="324"/>
        <v>#N/A</v>
      </c>
      <c r="AG725" s="306">
        <f t="shared" ca="1" si="346"/>
        <v>1.4677099486328942</v>
      </c>
      <c r="AH725" s="304">
        <f t="shared" ca="1" si="347"/>
        <v>-8.3173229332646468</v>
      </c>
    </row>
    <row r="726" spans="1:34" x14ac:dyDescent="0.3">
      <c r="A726" s="347">
        <f t="shared" ca="1" si="325"/>
        <v>1E-4</v>
      </c>
      <c r="B726" s="304">
        <f t="shared" ca="1" si="326"/>
        <v>16.138099999999874</v>
      </c>
      <c r="D726" s="306">
        <f t="shared" ca="1" si="327"/>
        <v>-0.59301585631277631</v>
      </c>
      <c r="E726" s="307">
        <f t="shared" ca="1" si="328"/>
        <v>-1.5137935683685662</v>
      </c>
      <c r="F726" s="304">
        <f t="shared" ca="1" si="329"/>
        <v>1.6258040390749471</v>
      </c>
      <c r="G726" s="306">
        <f t="shared" ca="1" si="330"/>
        <v>3.7317093237722201</v>
      </c>
      <c r="H726" s="307">
        <f t="shared" ca="1" si="331"/>
        <v>-52.207057048882739</v>
      </c>
      <c r="I726" s="304">
        <f t="shared" ca="1" si="332"/>
        <v>52.340256592630737</v>
      </c>
      <c r="J726" s="306">
        <f t="shared" ca="1" si="333"/>
        <v>150.09587023194715</v>
      </c>
      <c r="K726" s="307">
        <f t="shared" ca="1" si="334"/>
        <v>-4.8121417125031343</v>
      </c>
      <c r="L726" s="304">
        <f t="shared" ca="1" si="319"/>
        <v>150.1729901431903</v>
      </c>
      <c r="M726" s="306">
        <f t="shared" ca="1" si="335"/>
        <v>-1.4994386687716514</v>
      </c>
      <c r="N726" s="304">
        <f t="shared" ca="1" si="336"/>
        <v>-85.911507359330216</v>
      </c>
      <c r="P726" s="310">
        <f t="shared" ca="1" si="337"/>
        <v>23</v>
      </c>
      <c r="Q726" s="304">
        <f t="shared" ca="1" si="338"/>
        <v>0</v>
      </c>
      <c r="R726" s="306">
        <f t="shared" ca="1" si="339"/>
        <v>0</v>
      </c>
      <c r="S726" s="307">
        <f t="shared" ca="1" si="340"/>
        <v>0.4270000000000001</v>
      </c>
      <c r="T726" s="304">
        <f t="shared" ca="1" si="320"/>
        <v>4.1888700000000014</v>
      </c>
      <c r="U726" s="311">
        <f t="shared" ca="1" si="321"/>
        <v>0</v>
      </c>
      <c r="V726" s="306">
        <f t="shared" ca="1" si="322"/>
        <v>1.2255896292287523</v>
      </c>
      <c r="W726" s="304">
        <f t="shared" ca="1" si="323"/>
        <v>3.5515404364784584</v>
      </c>
      <c r="Y726" s="314" t="str">
        <f t="shared" ca="1" si="341"/>
        <v/>
      </c>
      <c r="Z726" s="315" t="str">
        <f t="shared" ca="1" si="342"/>
        <v/>
      </c>
      <c r="AA726" s="316" t="str">
        <f t="shared" ca="1" si="343"/>
        <v/>
      </c>
      <c r="AC726" s="310" t="e">
        <f t="shared" ca="1" si="344"/>
        <v>#N/A</v>
      </c>
      <c r="AD726" s="323" t="e">
        <f t="shared" ca="1" si="345"/>
        <v>#N/A</v>
      </c>
      <c r="AE726" s="324" t="e">
        <f t="shared" ca="1" si="324"/>
        <v>#N/A</v>
      </c>
      <c r="AG726" s="306">
        <f t="shared" ca="1" si="346"/>
        <v>1.4676598943816757</v>
      </c>
      <c r="AH726" s="304">
        <f t="shared" ca="1" si="347"/>
        <v>-8.3173739222233571</v>
      </c>
    </row>
    <row r="727" spans="1:34" x14ac:dyDescent="0.3">
      <c r="A727" s="347">
        <f t="shared" ca="1" si="325"/>
        <v>1E-4</v>
      </c>
      <c r="B727" s="304">
        <f t="shared" ca="1" si="326"/>
        <v>16.138199999999873</v>
      </c>
      <c r="D727" s="306">
        <f t="shared" ca="1" si="327"/>
        <v>-0.59300840512104624</v>
      </c>
      <c r="E727" s="307">
        <f t="shared" ca="1" si="328"/>
        <v>-1.5137419181068132</v>
      </c>
      <c r="F727" s="304">
        <f t="shared" ca="1" si="329"/>
        <v>1.6257532294840755</v>
      </c>
      <c r="G727" s="306">
        <f t="shared" ca="1" si="330"/>
        <v>3.7316500229317078</v>
      </c>
      <c r="H727" s="307">
        <f t="shared" ca="1" si="331"/>
        <v>-52.207208423074547</v>
      </c>
      <c r="I727" s="304">
        <f t="shared" ca="1" si="332"/>
        <v>52.340403353661614</v>
      </c>
      <c r="J727" s="306">
        <f t="shared" ca="1" si="333"/>
        <v>150.09587023194715</v>
      </c>
      <c r="K727" s="307">
        <f t="shared" ca="1" si="334"/>
        <v>-4.8173624257767322</v>
      </c>
      <c r="L727" s="304">
        <f t="shared" ca="1" si="319"/>
        <v>150.17315752632626</v>
      </c>
      <c r="M727" s="306">
        <f t="shared" ca="1" si="335"/>
        <v>-1.4994400050714485</v>
      </c>
      <c r="N727" s="304">
        <f t="shared" ca="1" si="336"/>
        <v>-85.911583923668758</v>
      </c>
      <c r="P727" s="310">
        <f t="shared" ca="1" si="337"/>
        <v>23</v>
      </c>
      <c r="Q727" s="304">
        <f t="shared" ca="1" si="338"/>
        <v>0</v>
      </c>
      <c r="R727" s="306">
        <f t="shared" ca="1" si="339"/>
        <v>0</v>
      </c>
      <c r="S727" s="307">
        <f t="shared" ca="1" si="340"/>
        <v>0.4270000000000001</v>
      </c>
      <c r="T727" s="304">
        <f t="shared" ca="1" si="320"/>
        <v>4.1888700000000014</v>
      </c>
      <c r="U727" s="311">
        <f t="shared" ca="1" si="321"/>
        <v>0</v>
      </c>
      <c r="V727" s="306">
        <f t="shared" ca="1" si="322"/>
        <v>1.2255902690741607</v>
      </c>
      <c r="W727" s="304">
        <f t="shared" ca="1" si="323"/>
        <v>3.5515622075712625</v>
      </c>
      <c r="Y727" s="314" t="str">
        <f t="shared" ca="1" si="341"/>
        <v/>
      </c>
      <c r="Z727" s="315" t="str">
        <f t="shared" ca="1" si="342"/>
        <v/>
      </c>
      <c r="AA727" s="316" t="str">
        <f t="shared" ca="1" si="343"/>
        <v/>
      </c>
      <c r="AC727" s="310" t="e">
        <f t="shared" ca="1" si="344"/>
        <v>#N/A</v>
      </c>
      <c r="AD727" s="323" t="e">
        <f t="shared" ca="1" si="345"/>
        <v>#N/A</v>
      </c>
      <c r="AE727" s="324" t="e">
        <f t="shared" ca="1" si="324"/>
        <v>#N/A</v>
      </c>
      <c r="AG727" s="306">
        <f t="shared" ca="1" si="346"/>
        <v>1.4676098414893364</v>
      </c>
      <c r="AH727" s="304">
        <f t="shared" ca="1" si="347"/>
        <v>-8.3174249097856148</v>
      </c>
    </row>
    <row r="728" spans="1:34" x14ac:dyDescent="0.3">
      <c r="A728" s="347">
        <f t="shared" ca="1" si="325"/>
        <v>1E-4</v>
      </c>
      <c r="B728" s="304">
        <f t="shared" ca="1" si="326"/>
        <v>16.138299999999873</v>
      </c>
      <c r="D728" s="306">
        <f t="shared" ca="1" si="327"/>
        <v>-0.59300095393112351</v>
      </c>
      <c r="E728" s="307">
        <f t="shared" ca="1" si="328"/>
        <v>-1.5136902692600813</v>
      </c>
      <c r="F728" s="304">
        <f t="shared" ca="1" si="329"/>
        <v>1.6257024212985227</v>
      </c>
      <c r="G728" s="306">
        <f t="shared" ca="1" si="330"/>
        <v>3.7315907228363145</v>
      </c>
      <c r="H728" s="307">
        <f t="shared" ca="1" si="331"/>
        <v>-52.207359792101471</v>
      </c>
      <c r="I728" s="304">
        <f t="shared" ca="1" si="332"/>
        <v>52.340550109687342</v>
      </c>
      <c r="J728" s="306">
        <f t="shared" ca="1" si="333"/>
        <v>150.09587023194715</v>
      </c>
      <c r="K728" s="307">
        <f t="shared" ca="1" si="334"/>
        <v>-4.8225831541874911</v>
      </c>
      <c r="L728" s="304">
        <f t="shared" ca="1" si="319"/>
        <v>150.17332509125768</v>
      </c>
      <c r="M728" s="306">
        <f t="shared" ca="1" si="335"/>
        <v>-1.4994413413425169</v>
      </c>
      <c r="N728" s="304">
        <f t="shared" ca="1" si="336"/>
        <v>-85.911660486361257</v>
      </c>
      <c r="P728" s="310">
        <f t="shared" ca="1" si="337"/>
        <v>23</v>
      </c>
      <c r="Q728" s="304">
        <f t="shared" ca="1" si="338"/>
        <v>0</v>
      </c>
      <c r="R728" s="306">
        <f t="shared" ca="1" si="339"/>
        <v>0</v>
      </c>
      <c r="S728" s="307">
        <f t="shared" ca="1" si="340"/>
        <v>0.4270000000000001</v>
      </c>
      <c r="T728" s="304">
        <f t="shared" ca="1" si="320"/>
        <v>4.1888700000000014</v>
      </c>
      <c r="U728" s="311">
        <f t="shared" ca="1" si="321"/>
        <v>0</v>
      </c>
      <c r="V728" s="306">
        <f t="shared" ca="1" si="322"/>
        <v>1.2255909089217585</v>
      </c>
      <c r="W728" s="304">
        <f t="shared" ca="1" si="323"/>
        <v>3.5515839780678014</v>
      </c>
      <c r="Y728" s="314" t="str">
        <f t="shared" ca="1" si="341"/>
        <v/>
      </c>
      <c r="Z728" s="315" t="str">
        <f t="shared" ca="1" si="342"/>
        <v/>
      </c>
      <c r="AA728" s="316" t="str">
        <f t="shared" ca="1" si="343"/>
        <v/>
      </c>
      <c r="AC728" s="310" t="e">
        <f t="shared" ca="1" si="344"/>
        <v>#N/A</v>
      </c>
      <c r="AD728" s="323" t="e">
        <f t="shared" ca="1" si="345"/>
        <v>#N/A</v>
      </c>
      <c r="AE728" s="324" t="e">
        <f t="shared" ca="1" si="324"/>
        <v>#N/A</v>
      </c>
      <c r="AG728" s="306">
        <f t="shared" ca="1" si="346"/>
        <v>1.4675597899558745</v>
      </c>
      <c r="AH728" s="304">
        <f t="shared" ca="1" si="347"/>
        <v>-8.3174758959514321</v>
      </c>
    </row>
    <row r="729" spans="1:34" x14ac:dyDescent="0.3">
      <c r="A729" s="347">
        <f t="shared" ca="1" si="325"/>
        <v>1E-4</v>
      </c>
      <c r="B729" s="304">
        <f t="shared" ca="1" si="326"/>
        <v>16.138399999999873</v>
      </c>
      <c r="D729" s="306">
        <f t="shared" ca="1" si="327"/>
        <v>-0.59299350274300988</v>
      </c>
      <c r="E729" s="307">
        <f t="shared" ca="1" si="328"/>
        <v>-1.5136386218283384</v>
      </c>
      <c r="F729" s="304">
        <f t="shared" ca="1" si="329"/>
        <v>1.6256516145182569</v>
      </c>
      <c r="G729" s="306">
        <f t="shared" ca="1" si="330"/>
        <v>3.7315314234860404</v>
      </c>
      <c r="H729" s="307">
        <f t="shared" ca="1" si="331"/>
        <v>-52.207511155963651</v>
      </c>
      <c r="I729" s="304">
        <f t="shared" ca="1" si="332"/>
        <v>52.340696860708043</v>
      </c>
      <c r="J729" s="306">
        <f t="shared" ca="1" si="333"/>
        <v>150.09587023194715</v>
      </c>
      <c r="K729" s="307">
        <f t="shared" ca="1" si="334"/>
        <v>-4.8278038977348947</v>
      </c>
      <c r="L729" s="304">
        <f t="shared" ca="1" si="319"/>
        <v>150.17349283798555</v>
      </c>
      <c r="M729" s="306">
        <f t="shared" ca="1" si="335"/>
        <v>-1.4994426775848571</v>
      </c>
      <c r="N729" s="304">
        <f t="shared" ca="1" si="336"/>
        <v>-85.911737047407755</v>
      </c>
      <c r="P729" s="310">
        <f t="shared" ca="1" si="337"/>
        <v>23</v>
      </c>
      <c r="Q729" s="304">
        <f t="shared" ca="1" si="338"/>
        <v>0</v>
      </c>
      <c r="R729" s="306">
        <f t="shared" ca="1" si="339"/>
        <v>0</v>
      </c>
      <c r="S729" s="307">
        <f t="shared" ca="1" si="340"/>
        <v>0.4270000000000001</v>
      </c>
      <c r="T729" s="304">
        <f t="shared" ca="1" si="320"/>
        <v>4.1888700000000014</v>
      </c>
      <c r="U729" s="311">
        <f t="shared" ca="1" si="321"/>
        <v>0</v>
      </c>
      <c r="V729" s="306">
        <f t="shared" ca="1" si="322"/>
        <v>1.2255915487715456</v>
      </c>
      <c r="W729" s="304">
        <f t="shared" ca="1" si="323"/>
        <v>3.5516057479680851</v>
      </c>
      <c r="Y729" s="314" t="str">
        <f t="shared" ca="1" si="341"/>
        <v/>
      </c>
      <c r="Z729" s="315" t="str">
        <f t="shared" ca="1" si="342"/>
        <v/>
      </c>
      <c r="AA729" s="316" t="str">
        <f t="shared" ca="1" si="343"/>
        <v/>
      </c>
      <c r="AC729" s="310" t="e">
        <f t="shared" ca="1" si="344"/>
        <v>#N/A</v>
      </c>
      <c r="AD729" s="323" t="e">
        <f t="shared" ca="1" si="345"/>
        <v>#N/A</v>
      </c>
      <c r="AE729" s="324" t="e">
        <f t="shared" ca="1" si="324"/>
        <v>#N/A</v>
      </c>
      <c r="AG729" s="306">
        <f t="shared" ca="1" si="346"/>
        <v>1.4675097397812493</v>
      </c>
      <c r="AH729" s="304">
        <f t="shared" ca="1" si="347"/>
        <v>-8.3175268807208447</v>
      </c>
    </row>
    <row r="730" spans="1:34" x14ac:dyDescent="0.3">
      <c r="A730" s="347">
        <f t="shared" ca="1" si="325"/>
        <v>1E-4</v>
      </c>
      <c r="B730" s="304">
        <f t="shared" ca="1" si="326"/>
        <v>16.138499999999873</v>
      </c>
      <c r="D730" s="306">
        <f t="shared" ca="1" si="327"/>
        <v>-0.59298605155671491</v>
      </c>
      <c r="E730" s="307">
        <f t="shared" ca="1" si="328"/>
        <v>-1.5135869758115597</v>
      </c>
      <c r="F730" s="304">
        <f t="shared" ca="1" si="329"/>
        <v>1.6256008091432552</v>
      </c>
      <c r="G730" s="306">
        <f t="shared" ca="1" si="330"/>
        <v>3.7314721248808849</v>
      </c>
      <c r="H730" s="307">
        <f t="shared" ca="1" si="331"/>
        <v>-52.20766251466123</v>
      </c>
      <c r="I730" s="304">
        <f t="shared" ca="1" si="332"/>
        <v>52.340843606723865</v>
      </c>
      <c r="J730" s="306">
        <f t="shared" ca="1" si="333"/>
        <v>150.09587023194715</v>
      </c>
      <c r="K730" s="307">
        <f t="shared" ca="1" si="334"/>
        <v>-4.8330246564184263</v>
      </c>
      <c r="L730" s="304">
        <f t="shared" ca="1" si="319"/>
        <v>150.17366076651081</v>
      </c>
      <c r="M730" s="306">
        <f t="shared" ca="1" si="335"/>
        <v>-1.4994440137984701</v>
      </c>
      <c r="N730" s="304">
        <f t="shared" ca="1" si="336"/>
        <v>-85.911813606808309</v>
      </c>
      <c r="P730" s="310">
        <f t="shared" ca="1" si="337"/>
        <v>23</v>
      </c>
      <c r="Q730" s="304">
        <f t="shared" ca="1" si="338"/>
        <v>0</v>
      </c>
      <c r="R730" s="306">
        <f t="shared" ca="1" si="339"/>
        <v>0</v>
      </c>
      <c r="S730" s="307">
        <f t="shared" ca="1" si="340"/>
        <v>0.4270000000000001</v>
      </c>
      <c r="T730" s="304">
        <f t="shared" ca="1" si="320"/>
        <v>4.1888700000000014</v>
      </c>
      <c r="U730" s="311">
        <f t="shared" ca="1" si="321"/>
        <v>0</v>
      </c>
      <c r="V730" s="306">
        <f t="shared" ca="1" si="322"/>
        <v>1.2255921886235224</v>
      </c>
      <c r="W730" s="304">
        <f t="shared" ca="1" si="323"/>
        <v>3.5516275172721286</v>
      </c>
      <c r="Y730" s="314" t="str">
        <f t="shared" ca="1" si="341"/>
        <v/>
      </c>
      <c r="Z730" s="315" t="str">
        <f t="shared" ca="1" si="342"/>
        <v/>
      </c>
      <c r="AA730" s="316" t="str">
        <f t="shared" ca="1" si="343"/>
        <v/>
      </c>
      <c r="AC730" s="310" t="e">
        <f t="shared" ca="1" si="344"/>
        <v>#N/A</v>
      </c>
      <c r="AD730" s="323" t="e">
        <f t="shared" ca="1" si="345"/>
        <v>#N/A</v>
      </c>
      <c r="AE730" s="324" t="e">
        <f t="shared" ca="1" si="324"/>
        <v>#N/A</v>
      </c>
      <c r="AG730" s="306">
        <f t="shared" ca="1" si="346"/>
        <v>1.4674596909654429</v>
      </c>
      <c r="AH730" s="304">
        <f t="shared" ca="1" si="347"/>
        <v>-8.3175778640938738</v>
      </c>
    </row>
    <row r="731" spans="1:34" x14ac:dyDescent="0.3">
      <c r="A731" s="347">
        <f t="shared" ca="1" si="325"/>
        <v>1E-4</v>
      </c>
      <c r="B731" s="304">
        <f t="shared" ca="1" si="326"/>
        <v>16.138599999999872</v>
      </c>
      <c r="D731" s="306">
        <f t="shared" ca="1" si="327"/>
        <v>-0.59297860037224026</v>
      </c>
      <c r="E731" s="307">
        <f t="shared" ca="1" si="328"/>
        <v>-1.5135353312097095</v>
      </c>
      <c r="F731" s="304">
        <f t="shared" ca="1" si="329"/>
        <v>1.6255500051734817</v>
      </c>
      <c r="G731" s="306">
        <f t="shared" ca="1" si="330"/>
        <v>3.7314128270208475</v>
      </c>
      <c r="H731" s="307">
        <f t="shared" ca="1" si="331"/>
        <v>-52.20781386819435</v>
      </c>
      <c r="I731" s="304">
        <f t="shared" ca="1" si="332"/>
        <v>52.340990347734937</v>
      </c>
      <c r="J731" s="306">
        <f t="shared" ca="1" si="333"/>
        <v>150.09587023194715</v>
      </c>
      <c r="K731" s="307">
        <f t="shared" ca="1" si="334"/>
        <v>-4.8382454302375688</v>
      </c>
      <c r="L731" s="304">
        <f t="shared" ca="1" si="319"/>
        <v>150.17382887683436</v>
      </c>
      <c r="M731" s="306">
        <f t="shared" ca="1" si="335"/>
        <v>-1.4994453499833569</v>
      </c>
      <c r="N731" s="304">
        <f t="shared" ca="1" si="336"/>
        <v>-85.911890164562976</v>
      </c>
      <c r="P731" s="310">
        <f t="shared" ca="1" si="337"/>
        <v>23</v>
      </c>
      <c r="Q731" s="304">
        <f t="shared" ca="1" si="338"/>
        <v>0</v>
      </c>
      <c r="R731" s="306">
        <f t="shared" ca="1" si="339"/>
        <v>0</v>
      </c>
      <c r="S731" s="307">
        <f t="shared" ca="1" si="340"/>
        <v>0.4270000000000001</v>
      </c>
      <c r="T731" s="304">
        <f t="shared" ca="1" si="320"/>
        <v>4.1888700000000014</v>
      </c>
      <c r="U731" s="311">
        <f t="shared" ca="1" si="321"/>
        <v>0</v>
      </c>
      <c r="V731" s="306">
        <f t="shared" ca="1" si="322"/>
        <v>1.2255928284776878</v>
      </c>
      <c r="W731" s="304">
        <f t="shared" ca="1" si="323"/>
        <v>3.5516492859799405</v>
      </c>
      <c r="Y731" s="314" t="str">
        <f t="shared" ca="1" si="341"/>
        <v/>
      </c>
      <c r="Z731" s="315" t="str">
        <f t="shared" ca="1" si="342"/>
        <v/>
      </c>
      <c r="AA731" s="316" t="str">
        <f t="shared" ca="1" si="343"/>
        <v/>
      </c>
      <c r="AC731" s="310" t="e">
        <f t="shared" ca="1" si="344"/>
        <v>#N/A</v>
      </c>
      <c r="AD731" s="323" t="e">
        <f t="shared" ca="1" si="345"/>
        <v>#N/A</v>
      </c>
      <c r="AE731" s="324" t="e">
        <f t="shared" ca="1" si="324"/>
        <v>#N/A</v>
      </c>
      <c r="AG731" s="306">
        <f t="shared" ca="1" si="346"/>
        <v>1.4674096435084216</v>
      </c>
      <c r="AH731" s="304">
        <f t="shared" ca="1" si="347"/>
        <v>-8.3176288460705567</v>
      </c>
    </row>
    <row r="732" spans="1:34" x14ac:dyDescent="0.3">
      <c r="A732" s="347">
        <f t="shared" ca="1" si="325"/>
        <v>1E-4</v>
      </c>
      <c r="B732" s="304">
        <f t="shared" ca="1" si="326"/>
        <v>16.138699999999872</v>
      </c>
      <c r="D732" s="306">
        <f t="shared" ca="1" si="327"/>
        <v>-0.59297114918959193</v>
      </c>
      <c r="E732" s="307">
        <f t="shared" ca="1" si="328"/>
        <v>-1.5134836880227667</v>
      </c>
      <c r="F732" s="304">
        <f t="shared" ca="1" si="329"/>
        <v>1.6254992026089157</v>
      </c>
      <c r="G732" s="306">
        <f t="shared" ca="1" si="330"/>
        <v>3.7313535299059284</v>
      </c>
      <c r="H732" s="307">
        <f t="shared" ca="1" si="331"/>
        <v>-52.207965216563153</v>
      </c>
      <c r="I732" s="304">
        <f t="shared" ca="1" si="332"/>
        <v>52.341137083741401</v>
      </c>
      <c r="J732" s="306">
        <f t="shared" ca="1" si="333"/>
        <v>150.09587023194715</v>
      </c>
      <c r="K732" s="307">
        <f t="shared" ca="1" si="334"/>
        <v>-4.8434662191918063</v>
      </c>
      <c r="L732" s="304">
        <f t="shared" ca="1" si="319"/>
        <v>150.17399716895721</v>
      </c>
      <c r="M732" s="306">
        <f t="shared" ca="1" si="335"/>
        <v>-1.4994466861395179</v>
      </c>
      <c r="N732" s="304">
        <f t="shared" ca="1" si="336"/>
        <v>-85.911966720671771</v>
      </c>
      <c r="P732" s="310">
        <f t="shared" ca="1" si="337"/>
        <v>23</v>
      </c>
      <c r="Q732" s="304">
        <f t="shared" ca="1" si="338"/>
        <v>0</v>
      </c>
      <c r="R732" s="306">
        <f t="shared" ca="1" si="339"/>
        <v>0</v>
      </c>
      <c r="S732" s="307">
        <f t="shared" ca="1" si="340"/>
        <v>0.4270000000000001</v>
      </c>
      <c r="T732" s="304">
        <f t="shared" ca="1" si="320"/>
        <v>4.1888700000000014</v>
      </c>
      <c r="U732" s="311">
        <f t="shared" ca="1" si="321"/>
        <v>0</v>
      </c>
      <c r="V732" s="306">
        <f t="shared" ca="1" si="322"/>
        <v>1.2255934683340424</v>
      </c>
      <c r="W732" s="304">
        <f t="shared" ca="1" si="323"/>
        <v>3.5516710540915337</v>
      </c>
      <c r="Y732" s="314" t="str">
        <f t="shared" ca="1" si="341"/>
        <v/>
      </c>
      <c r="Z732" s="315" t="str">
        <f t="shared" ca="1" si="342"/>
        <v/>
      </c>
      <c r="AA732" s="316" t="str">
        <f t="shared" ca="1" si="343"/>
        <v/>
      </c>
      <c r="AC732" s="310" t="e">
        <f t="shared" ca="1" si="344"/>
        <v>#N/A</v>
      </c>
      <c r="AD732" s="323" t="e">
        <f t="shared" ca="1" si="345"/>
        <v>#N/A</v>
      </c>
      <c r="AE732" s="324" t="e">
        <f t="shared" ca="1" si="324"/>
        <v>#N/A</v>
      </c>
      <c r="AG732" s="306">
        <f t="shared" ca="1" si="346"/>
        <v>1.4673595974101623</v>
      </c>
      <c r="AH732" s="304">
        <f t="shared" ca="1" si="347"/>
        <v>-8.3176798266509131</v>
      </c>
    </row>
    <row r="733" spans="1:34" x14ac:dyDescent="0.3">
      <c r="A733" s="347">
        <f t="shared" ca="1" si="325"/>
        <v>1E-4</v>
      </c>
      <c r="B733" s="304">
        <f t="shared" ca="1" si="326"/>
        <v>16.138799999999872</v>
      </c>
      <c r="D733" s="306">
        <f t="shared" ca="1" si="327"/>
        <v>-0.59296369800877624</v>
      </c>
      <c r="E733" s="307">
        <f t="shared" ca="1" si="328"/>
        <v>-1.5134320462507009</v>
      </c>
      <c r="F733" s="304">
        <f t="shared" ca="1" si="329"/>
        <v>1.6254484014495283</v>
      </c>
      <c r="G733" s="306">
        <f t="shared" ca="1" si="330"/>
        <v>3.7312942335361274</v>
      </c>
      <c r="H733" s="307">
        <f t="shared" ca="1" si="331"/>
        <v>-52.208116559767781</v>
      </c>
      <c r="I733" s="304">
        <f t="shared" ca="1" si="332"/>
        <v>52.341283814743392</v>
      </c>
      <c r="J733" s="306">
        <f t="shared" ca="1" si="333"/>
        <v>150.09587023194715</v>
      </c>
      <c r="K733" s="307">
        <f t="shared" ca="1" si="334"/>
        <v>-4.8486870232806227</v>
      </c>
      <c r="L733" s="304">
        <f t="shared" ca="1" si="319"/>
        <v>150.1741656428803</v>
      </c>
      <c r="M733" s="306">
        <f t="shared" ca="1" si="335"/>
        <v>-1.4994480222669542</v>
      </c>
      <c r="N733" s="304">
        <f t="shared" ca="1" si="336"/>
        <v>-85.912043275134764</v>
      </c>
      <c r="P733" s="310">
        <f t="shared" ca="1" si="337"/>
        <v>23</v>
      </c>
      <c r="Q733" s="304">
        <f t="shared" ca="1" si="338"/>
        <v>0</v>
      </c>
      <c r="R733" s="306">
        <f t="shared" ca="1" si="339"/>
        <v>0</v>
      </c>
      <c r="S733" s="307">
        <f t="shared" ca="1" si="340"/>
        <v>0.4270000000000001</v>
      </c>
      <c r="T733" s="304">
        <f t="shared" ca="1" si="320"/>
        <v>4.1888700000000014</v>
      </c>
      <c r="U733" s="311">
        <f t="shared" ca="1" si="321"/>
        <v>0</v>
      </c>
      <c r="V733" s="306">
        <f t="shared" ca="1" si="322"/>
        <v>1.2255941081925861</v>
      </c>
      <c r="W733" s="304">
        <f t="shared" ca="1" si="323"/>
        <v>3.5516928216069199</v>
      </c>
      <c r="Y733" s="314" t="str">
        <f t="shared" ca="1" si="341"/>
        <v/>
      </c>
      <c r="Z733" s="315" t="str">
        <f t="shared" ca="1" si="342"/>
        <v/>
      </c>
      <c r="AA733" s="316" t="str">
        <f t="shared" ca="1" si="343"/>
        <v/>
      </c>
      <c r="AC733" s="310" t="e">
        <f t="shared" ca="1" si="344"/>
        <v>#N/A</v>
      </c>
      <c r="AD733" s="323" t="e">
        <f t="shared" ca="1" si="345"/>
        <v>#N/A</v>
      </c>
      <c r="AE733" s="324" t="e">
        <f t="shared" ca="1" si="324"/>
        <v>#N/A</v>
      </c>
      <c r="AG733" s="306">
        <f t="shared" ca="1" si="346"/>
        <v>1.4673095526706437</v>
      </c>
      <c r="AH733" s="304">
        <f t="shared" ca="1" si="347"/>
        <v>-8.3177308058349713</v>
      </c>
    </row>
    <row r="734" spans="1:34" x14ac:dyDescent="0.3">
      <c r="A734" s="347">
        <f t="shared" ca="1" si="325"/>
        <v>1E-4</v>
      </c>
      <c r="B734" s="304">
        <f t="shared" ca="1" si="326"/>
        <v>16.138899999999872</v>
      </c>
      <c r="D734" s="306">
        <f t="shared" ca="1" si="327"/>
        <v>-0.59295624682979797</v>
      </c>
      <c r="E734" s="307">
        <f t="shared" ca="1" si="328"/>
        <v>-1.5133804058934839</v>
      </c>
      <c r="F734" s="304">
        <f t="shared" ca="1" si="329"/>
        <v>1.6253976016952918</v>
      </c>
      <c r="G734" s="306">
        <f t="shared" ca="1" si="330"/>
        <v>3.7312349379114447</v>
      </c>
      <c r="H734" s="307">
        <f t="shared" ca="1" si="331"/>
        <v>-52.208267897808369</v>
      </c>
      <c r="I734" s="304">
        <f t="shared" ca="1" si="332"/>
        <v>52.341430540741037</v>
      </c>
      <c r="J734" s="306">
        <f t="shared" ca="1" si="333"/>
        <v>150.09587023194715</v>
      </c>
      <c r="K734" s="307">
        <f t="shared" ca="1" si="334"/>
        <v>-4.8539078425035012</v>
      </c>
      <c r="L734" s="304">
        <f t="shared" ca="1" si="319"/>
        <v>150.17433429860455</v>
      </c>
      <c r="M734" s="306">
        <f t="shared" ca="1" si="335"/>
        <v>-1.4994493583656667</v>
      </c>
      <c r="N734" s="304">
        <f t="shared" ca="1" si="336"/>
        <v>-85.912119827951997</v>
      </c>
      <c r="P734" s="310">
        <f t="shared" ca="1" si="337"/>
        <v>23</v>
      </c>
      <c r="Q734" s="304">
        <f t="shared" ca="1" si="338"/>
        <v>0</v>
      </c>
      <c r="R734" s="306">
        <f t="shared" ca="1" si="339"/>
        <v>0</v>
      </c>
      <c r="S734" s="307">
        <f t="shared" ca="1" si="340"/>
        <v>0.4270000000000001</v>
      </c>
      <c r="T734" s="304">
        <f t="shared" ca="1" si="320"/>
        <v>4.1888700000000014</v>
      </c>
      <c r="U734" s="311">
        <f t="shared" ca="1" si="321"/>
        <v>0</v>
      </c>
      <c r="V734" s="306">
        <f t="shared" ca="1" si="322"/>
        <v>1.2255947480533187</v>
      </c>
      <c r="W734" s="304">
        <f t="shared" ca="1" si="323"/>
        <v>3.5517145885261105</v>
      </c>
      <c r="Y734" s="314" t="str">
        <f t="shared" ca="1" si="341"/>
        <v/>
      </c>
      <c r="Z734" s="315" t="str">
        <f t="shared" ca="1" si="342"/>
        <v/>
      </c>
      <c r="AA734" s="316" t="str">
        <f t="shared" ca="1" si="343"/>
        <v/>
      </c>
      <c r="AC734" s="310" t="e">
        <f t="shared" ca="1" si="344"/>
        <v>#N/A</v>
      </c>
      <c r="AD734" s="323" t="e">
        <f t="shared" ca="1" si="345"/>
        <v>#N/A</v>
      </c>
      <c r="AE734" s="324" t="e">
        <f t="shared" ca="1" si="324"/>
        <v>#N/A</v>
      </c>
      <c r="AG734" s="306">
        <f t="shared" ca="1" si="346"/>
        <v>1.4672595092898373</v>
      </c>
      <c r="AH734" s="304">
        <f t="shared" ca="1" si="347"/>
        <v>-8.3177817836227614</v>
      </c>
    </row>
    <row r="735" spans="1:34" x14ac:dyDescent="0.3">
      <c r="A735" s="347">
        <f t="shared" ca="1" si="325"/>
        <v>1E-4</v>
      </c>
      <c r="B735" s="304">
        <f t="shared" ca="1" si="326"/>
        <v>16.138999999999871</v>
      </c>
      <c r="D735" s="306">
        <f t="shared" ca="1" si="327"/>
        <v>-0.59294879565266012</v>
      </c>
      <c r="E735" s="307">
        <f t="shared" ca="1" si="328"/>
        <v>-1.5133287669510906</v>
      </c>
      <c r="F735" s="304">
        <f t="shared" ca="1" si="329"/>
        <v>1.6253468033461809</v>
      </c>
      <c r="G735" s="306">
        <f t="shared" ca="1" si="330"/>
        <v>3.7311756430318792</v>
      </c>
      <c r="H735" s="307">
        <f t="shared" ca="1" si="331"/>
        <v>-52.208419230685067</v>
      </c>
      <c r="I735" s="304">
        <f t="shared" ca="1" si="332"/>
        <v>52.341577261734486</v>
      </c>
      <c r="J735" s="306">
        <f t="shared" ca="1" si="333"/>
        <v>150.09587023194715</v>
      </c>
      <c r="K735" s="307">
        <f t="shared" ca="1" si="334"/>
        <v>-4.8591286768599256</v>
      </c>
      <c r="L735" s="304">
        <f t="shared" ca="1" si="319"/>
        <v>150.17450313613094</v>
      </c>
      <c r="M735" s="306">
        <f t="shared" ca="1" si="335"/>
        <v>-1.499450694435656</v>
      </c>
      <c r="N735" s="304">
        <f t="shared" ca="1" si="336"/>
        <v>-85.912196379123529</v>
      </c>
      <c r="P735" s="310">
        <f t="shared" ca="1" si="337"/>
        <v>23</v>
      </c>
      <c r="Q735" s="304">
        <f t="shared" ca="1" si="338"/>
        <v>0</v>
      </c>
      <c r="R735" s="306">
        <f t="shared" ca="1" si="339"/>
        <v>0</v>
      </c>
      <c r="S735" s="307">
        <f t="shared" ca="1" si="340"/>
        <v>0.4270000000000001</v>
      </c>
      <c r="T735" s="304">
        <f t="shared" ca="1" si="320"/>
        <v>4.1888700000000014</v>
      </c>
      <c r="U735" s="311">
        <f t="shared" ca="1" si="321"/>
        <v>0</v>
      </c>
      <c r="V735" s="306">
        <f t="shared" ca="1" si="322"/>
        <v>1.2255953879162405</v>
      </c>
      <c r="W735" s="304">
        <f t="shared" ca="1" si="323"/>
        <v>3.5517363548491194</v>
      </c>
      <c r="Y735" s="314" t="str">
        <f t="shared" ca="1" si="341"/>
        <v/>
      </c>
      <c r="Z735" s="315" t="str">
        <f t="shared" ca="1" si="342"/>
        <v/>
      </c>
      <c r="AA735" s="316" t="str">
        <f t="shared" ca="1" si="343"/>
        <v/>
      </c>
      <c r="AC735" s="310" t="e">
        <f t="shared" ca="1" si="344"/>
        <v>#N/A</v>
      </c>
      <c r="AD735" s="323" t="e">
        <f t="shared" ca="1" si="345"/>
        <v>#N/A</v>
      </c>
      <c r="AE735" s="324" t="e">
        <f t="shared" ca="1" si="324"/>
        <v>#N/A</v>
      </c>
      <c r="AG735" s="306">
        <f t="shared" ca="1" si="346"/>
        <v>1.4672094672677165</v>
      </c>
      <c r="AH735" s="304">
        <f t="shared" ca="1" si="347"/>
        <v>-8.3178327600143085</v>
      </c>
    </row>
    <row r="736" spans="1:34" x14ac:dyDescent="0.3">
      <c r="A736" s="347">
        <f t="shared" ca="1" si="325"/>
        <v>1E-4</v>
      </c>
      <c r="B736" s="304">
        <f t="shared" ca="1" si="326"/>
        <v>16.139099999999871</v>
      </c>
      <c r="D736" s="306">
        <f t="shared" ca="1" si="327"/>
        <v>-0.59294134447737112</v>
      </c>
      <c r="E736" s="307">
        <f t="shared" ca="1" si="328"/>
        <v>-1.5132771294234857</v>
      </c>
      <c r="F736" s="304">
        <f t="shared" ca="1" si="329"/>
        <v>1.6252960064021622</v>
      </c>
      <c r="G736" s="306">
        <f t="shared" ca="1" si="330"/>
        <v>3.7311163488974315</v>
      </c>
      <c r="H736" s="307">
        <f t="shared" ca="1" si="331"/>
        <v>-52.208570558398009</v>
      </c>
      <c r="I736" s="304">
        <f t="shared" ca="1" si="332"/>
        <v>52.341723977723859</v>
      </c>
      <c r="J736" s="306">
        <f t="shared" ca="1" si="333"/>
        <v>150.09587023194715</v>
      </c>
      <c r="K736" s="307">
        <f t="shared" ca="1" si="334"/>
        <v>-4.8643495263493799</v>
      </c>
      <c r="L736" s="304">
        <f t="shared" ca="1" si="319"/>
        <v>150.1746721554604</v>
      </c>
      <c r="M736" s="306">
        <f t="shared" ca="1" si="335"/>
        <v>-1.4994520304769232</v>
      </c>
      <c r="N736" s="304">
        <f t="shared" ca="1" si="336"/>
        <v>-85.912272928649386</v>
      </c>
      <c r="P736" s="310">
        <f t="shared" ca="1" si="337"/>
        <v>23</v>
      </c>
      <c r="Q736" s="304">
        <f t="shared" ca="1" si="338"/>
        <v>0</v>
      </c>
      <c r="R736" s="306">
        <f t="shared" ca="1" si="339"/>
        <v>0</v>
      </c>
      <c r="S736" s="307">
        <f t="shared" ca="1" si="340"/>
        <v>0.4270000000000001</v>
      </c>
      <c r="T736" s="304">
        <f t="shared" ca="1" si="320"/>
        <v>4.1888700000000014</v>
      </c>
      <c r="U736" s="311">
        <f t="shared" ca="1" si="321"/>
        <v>0</v>
      </c>
      <c r="V736" s="306">
        <f t="shared" ca="1" si="322"/>
        <v>1.2255960277813507</v>
      </c>
      <c r="W736" s="304">
        <f t="shared" ca="1" si="323"/>
        <v>3.5517581205759532</v>
      </c>
      <c r="Y736" s="314" t="str">
        <f t="shared" ca="1" si="341"/>
        <v/>
      </c>
      <c r="Z736" s="315" t="str">
        <f t="shared" ca="1" si="342"/>
        <v/>
      </c>
      <c r="AA736" s="316" t="str">
        <f t="shared" ca="1" si="343"/>
        <v/>
      </c>
      <c r="AC736" s="310" t="e">
        <f t="shared" ca="1" si="344"/>
        <v>#N/A</v>
      </c>
      <c r="AD736" s="323" t="e">
        <f t="shared" ca="1" si="345"/>
        <v>#N/A</v>
      </c>
      <c r="AE736" s="324" t="e">
        <f t="shared" ca="1" si="324"/>
        <v>#N/A</v>
      </c>
      <c r="AG736" s="306">
        <f t="shared" ca="1" si="346"/>
        <v>1.4671594266042511</v>
      </c>
      <c r="AH736" s="304">
        <f t="shared" ca="1" si="347"/>
        <v>-8.3178837350096462</v>
      </c>
    </row>
    <row r="737" spans="1:34" x14ac:dyDescent="0.3">
      <c r="A737" s="347">
        <f t="shared" ca="1" si="325"/>
        <v>1E-4</v>
      </c>
      <c r="B737" s="304">
        <f t="shared" ca="1" si="326"/>
        <v>16.139199999999871</v>
      </c>
      <c r="D737" s="306">
        <f t="shared" ca="1" si="327"/>
        <v>-0.59293389330393276</v>
      </c>
      <c r="E737" s="307">
        <f t="shared" ca="1" si="328"/>
        <v>-1.5132254933106584</v>
      </c>
      <c r="F737" s="304">
        <f t="shared" ca="1" si="329"/>
        <v>1.6252452108632238</v>
      </c>
      <c r="G737" s="306">
        <f t="shared" ca="1" si="330"/>
        <v>3.7310570555081011</v>
      </c>
      <c r="H737" s="307">
        <f t="shared" ca="1" si="331"/>
        <v>-52.208721880947337</v>
      </c>
      <c r="I737" s="304">
        <f t="shared" ca="1" si="332"/>
        <v>52.341870688709307</v>
      </c>
      <c r="J737" s="306">
        <f t="shared" ca="1" si="333"/>
        <v>150.09587023194715</v>
      </c>
      <c r="K737" s="307">
        <f t="shared" ca="1" si="334"/>
        <v>-4.8695703909713473</v>
      </c>
      <c r="L737" s="304">
        <f t="shared" ca="1" si="319"/>
        <v>150.1748413565939</v>
      </c>
      <c r="M737" s="306">
        <f t="shared" ca="1" si="335"/>
        <v>-1.4994533664894689</v>
      </c>
      <c r="N737" s="304">
        <f t="shared" ca="1" si="336"/>
        <v>-85.912349476529627</v>
      </c>
      <c r="P737" s="310">
        <f t="shared" ca="1" si="337"/>
        <v>23</v>
      </c>
      <c r="Q737" s="304">
        <f t="shared" ca="1" si="338"/>
        <v>0</v>
      </c>
      <c r="R737" s="306">
        <f t="shared" ca="1" si="339"/>
        <v>0</v>
      </c>
      <c r="S737" s="307">
        <f t="shared" ca="1" si="340"/>
        <v>0.4270000000000001</v>
      </c>
      <c r="T737" s="304">
        <f t="shared" ca="1" si="320"/>
        <v>4.1888700000000014</v>
      </c>
      <c r="U737" s="311">
        <f t="shared" ca="1" si="321"/>
        <v>0</v>
      </c>
      <c r="V737" s="306">
        <f t="shared" ca="1" si="322"/>
        <v>1.2255966676486501</v>
      </c>
      <c r="W737" s="304">
        <f t="shared" ca="1" si="323"/>
        <v>3.5517798857066301</v>
      </c>
      <c r="Y737" s="314" t="str">
        <f t="shared" ca="1" si="341"/>
        <v/>
      </c>
      <c r="Z737" s="315" t="str">
        <f t="shared" ca="1" si="342"/>
        <v/>
      </c>
      <c r="AA737" s="316" t="str">
        <f t="shared" ca="1" si="343"/>
        <v/>
      </c>
      <c r="AC737" s="310" t="e">
        <f t="shared" ca="1" si="344"/>
        <v>#N/A</v>
      </c>
      <c r="AD737" s="323" t="e">
        <f t="shared" ca="1" si="345"/>
        <v>#N/A</v>
      </c>
      <c r="AE737" s="324" t="e">
        <f t="shared" ca="1" si="324"/>
        <v>#N/A</v>
      </c>
      <c r="AG737" s="306">
        <f t="shared" ca="1" si="346"/>
        <v>1.4671093872994323</v>
      </c>
      <c r="AH737" s="304">
        <f t="shared" ca="1" si="347"/>
        <v>-8.3179347086087869</v>
      </c>
    </row>
    <row r="738" spans="1:34" x14ac:dyDescent="0.3">
      <c r="A738" s="347">
        <f t="shared" ca="1" si="325"/>
        <v>1E-4</v>
      </c>
      <c r="B738" s="304">
        <f t="shared" ca="1" si="326"/>
        <v>16.139299999999871</v>
      </c>
      <c r="D738" s="306">
        <f t="shared" ca="1" si="327"/>
        <v>-0.5929264421323529</v>
      </c>
      <c r="E738" s="307">
        <f t="shared" ca="1" si="328"/>
        <v>-1.5131738586125572</v>
      </c>
      <c r="F738" s="304">
        <f t="shared" ca="1" si="329"/>
        <v>1.6251944167293173</v>
      </c>
      <c r="G738" s="306">
        <f t="shared" ca="1" si="330"/>
        <v>3.730997762863888</v>
      </c>
      <c r="H738" s="307">
        <f t="shared" ca="1" si="331"/>
        <v>-52.208873198333201</v>
      </c>
      <c r="I738" s="304">
        <f t="shared" ca="1" si="332"/>
        <v>52.342017394690949</v>
      </c>
      <c r="J738" s="306">
        <f t="shared" ca="1" si="333"/>
        <v>150.09587023194715</v>
      </c>
      <c r="K738" s="307">
        <f t="shared" ca="1" si="334"/>
        <v>-4.8747912707253116</v>
      </c>
      <c r="L738" s="304">
        <f t="shared" ca="1" si="319"/>
        <v>150.17501073953235</v>
      </c>
      <c r="M738" s="306">
        <f t="shared" ca="1" si="335"/>
        <v>-1.4994547024732938</v>
      </c>
      <c r="N738" s="304">
        <f t="shared" ca="1" si="336"/>
        <v>-85.912426022764294</v>
      </c>
      <c r="P738" s="310">
        <f t="shared" ca="1" si="337"/>
        <v>23</v>
      </c>
      <c r="Q738" s="304">
        <f t="shared" ca="1" si="338"/>
        <v>0</v>
      </c>
      <c r="R738" s="306">
        <f t="shared" ca="1" si="339"/>
        <v>0</v>
      </c>
      <c r="S738" s="307">
        <f t="shared" ca="1" si="340"/>
        <v>0.4270000000000001</v>
      </c>
      <c r="T738" s="304">
        <f t="shared" ca="1" si="320"/>
        <v>4.1888700000000014</v>
      </c>
      <c r="U738" s="311">
        <f t="shared" ca="1" si="321"/>
        <v>0</v>
      </c>
      <c r="V738" s="306">
        <f t="shared" ca="1" si="322"/>
        <v>1.2255973075181379</v>
      </c>
      <c r="W738" s="304">
        <f t="shared" ca="1" si="323"/>
        <v>3.5518016502411549</v>
      </c>
      <c r="Y738" s="314" t="str">
        <f t="shared" ca="1" si="341"/>
        <v/>
      </c>
      <c r="Z738" s="315" t="str">
        <f t="shared" ca="1" si="342"/>
        <v/>
      </c>
      <c r="AA738" s="316" t="str">
        <f t="shared" ca="1" si="343"/>
        <v/>
      </c>
      <c r="AC738" s="310" t="e">
        <f t="shared" ca="1" si="344"/>
        <v>#N/A</v>
      </c>
      <c r="AD738" s="323" t="e">
        <f t="shared" ca="1" si="345"/>
        <v>#N/A</v>
      </c>
      <c r="AE738" s="324" t="e">
        <f t="shared" ca="1" si="324"/>
        <v>#N/A</v>
      </c>
      <c r="AG738" s="306">
        <f t="shared" ca="1" si="346"/>
        <v>1.4670593493532103</v>
      </c>
      <c r="AH738" s="304">
        <f t="shared" ca="1" si="347"/>
        <v>-8.3179856808117787</v>
      </c>
    </row>
    <row r="739" spans="1:34" x14ac:dyDescent="0.3">
      <c r="A739" s="347">
        <f t="shared" ca="1" si="325"/>
        <v>1E-4</v>
      </c>
      <c r="B739" s="304">
        <f t="shared" ca="1" si="326"/>
        <v>16.139399999999871</v>
      </c>
      <c r="D739" s="306">
        <f t="shared" ca="1" si="327"/>
        <v>-0.59291899096263667</v>
      </c>
      <c r="E739" s="307">
        <f t="shared" ca="1" si="328"/>
        <v>-1.513122225329175</v>
      </c>
      <c r="F739" s="304">
        <f t="shared" ca="1" si="329"/>
        <v>1.6251436240004344</v>
      </c>
      <c r="G739" s="306">
        <f t="shared" ca="1" si="330"/>
        <v>3.7309384709647917</v>
      </c>
      <c r="H739" s="307">
        <f t="shared" ca="1" si="331"/>
        <v>-52.209024510555736</v>
      </c>
      <c r="I739" s="304">
        <f t="shared" ca="1" si="332"/>
        <v>52.342164095668942</v>
      </c>
      <c r="J739" s="306">
        <f t="shared" ca="1" si="333"/>
        <v>150.09587023194715</v>
      </c>
      <c r="K739" s="307">
        <f t="shared" ca="1" si="334"/>
        <v>-4.880012165610756</v>
      </c>
      <c r="L739" s="304">
        <f t="shared" ca="1" si="319"/>
        <v>150.17518030427672</v>
      </c>
      <c r="M739" s="306">
        <f t="shared" ca="1" si="335"/>
        <v>-1.499456038428399</v>
      </c>
      <c r="N739" s="304">
        <f t="shared" ca="1" si="336"/>
        <v>-85.912502567353442</v>
      </c>
      <c r="P739" s="310">
        <f t="shared" ca="1" si="337"/>
        <v>23</v>
      </c>
      <c r="Q739" s="304">
        <f t="shared" ca="1" si="338"/>
        <v>0</v>
      </c>
      <c r="R739" s="306">
        <f t="shared" ca="1" si="339"/>
        <v>0</v>
      </c>
      <c r="S739" s="307">
        <f t="shared" ca="1" si="340"/>
        <v>0.4270000000000001</v>
      </c>
      <c r="T739" s="304">
        <f t="shared" ca="1" si="320"/>
        <v>4.1888700000000014</v>
      </c>
      <c r="U739" s="311">
        <f t="shared" ca="1" si="321"/>
        <v>0</v>
      </c>
      <c r="V739" s="306">
        <f t="shared" ca="1" si="322"/>
        <v>1.2255979473898142</v>
      </c>
      <c r="W739" s="304">
        <f t="shared" ca="1" si="323"/>
        <v>3.5518234141795442</v>
      </c>
      <c r="Y739" s="314" t="str">
        <f t="shared" ca="1" si="341"/>
        <v/>
      </c>
      <c r="Z739" s="315" t="str">
        <f t="shared" ca="1" si="342"/>
        <v/>
      </c>
      <c r="AA739" s="316" t="str">
        <f t="shared" ca="1" si="343"/>
        <v/>
      </c>
      <c r="AC739" s="310" t="e">
        <f t="shared" ca="1" si="344"/>
        <v>#N/A</v>
      </c>
      <c r="AD739" s="323" t="e">
        <f t="shared" ca="1" si="345"/>
        <v>#N/A</v>
      </c>
      <c r="AE739" s="324" t="e">
        <f t="shared" ca="1" si="324"/>
        <v>#N/A</v>
      </c>
      <c r="AG739" s="306">
        <f t="shared" ca="1" si="346"/>
        <v>1.4670093127655797</v>
      </c>
      <c r="AH739" s="304">
        <f t="shared" ca="1" si="347"/>
        <v>-8.3180366516186286</v>
      </c>
    </row>
    <row r="740" spans="1:34" x14ac:dyDescent="0.3">
      <c r="A740" s="347">
        <f t="shared" ca="1" si="325"/>
        <v>1E-4</v>
      </c>
      <c r="B740" s="304">
        <f t="shared" ca="1" si="326"/>
        <v>16.13949999999987</v>
      </c>
      <c r="D740" s="306">
        <f t="shared" ca="1" si="327"/>
        <v>-0.59291153979478761</v>
      </c>
      <c r="E740" s="307">
        <f t="shared" ca="1" si="328"/>
        <v>-1.5130705934604762</v>
      </c>
      <c r="F740" s="304">
        <f t="shared" ca="1" si="329"/>
        <v>1.6250928326765408</v>
      </c>
      <c r="G740" s="306">
        <f t="shared" ca="1" si="330"/>
        <v>3.7308791798108123</v>
      </c>
      <c r="H740" s="307">
        <f t="shared" ca="1" si="331"/>
        <v>-52.209175817615083</v>
      </c>
      <c r="I740" s="304">
        <f t="shared" ca="1" si="332"/>
        <v>52.342310791643406</v>
      </c>
      <c r="J740" s="306">
        <f t="shared" ca="1" si="333"/>
        <v>150.09587023194715</v>
      </c>
      <c r="K740" s="307">
        <f t="shared" ca="1" si="334"/>
        <v>-4.8852330756271645</v>
      </c>
      <c r="L740" s="304">
        <f t="shared" ca="1" si="319"/>
        <v>150.17535005082797</v>
      </c>
      <c r="M740" s="306">
        <f t="shared" ca="1" si="335"/>
        <v>-1.4994573743547854</v>
      </c>
      <c r="N740" s="304">
        <f t="shared" ca="1" si="336"/>
        <v>-85.912579110297131</v>
      </c>
      <c r="P740" s="310">
        <f t="shared" ca="1" si="337"/>
        <v>23</v>
      </c>
      <c r="Q740" s="304">
        <f t="shared" ca="1" si="338"/>
        <v>0</v>
      </c>
      <c r="R740" s="306">
        <f t="shared" ca="1" si="339"/>
        <v>0</v>
      </c>
      <c r="S740" s="307">
        <f t="shared" ca="1" si="340"/>
        <v>0.4270000000000001</v>
      </c>
      <c r="T740" s="304">
        <f t="shared" ca="1" si="320"/>
        <v>4.1888700000000014</v>
      </c>
      <c r="U740" s="311">
        <f t="shared" ca="1" si="321"/>
        <v>0</v>
      </c>
      <c r="V740" s="306">
        <f t="shared" ca="1" si="322"/>
        <v>1.2255985872636794</v>
      </c>
      <c r="W740" s="304">
        <f t="shared" ca="1" si="323"/>
        <v>3.5518451775218081</v>
      </c>
      <c r="Y740" s="314" t="str">
        <f t="shared" ca="1" si="341"/>
        <v/>
      </c>
      <c r="Z740" s="315" t="str">
        <f t="shared" ca="1" si="342"/>
        <v/>
      </c>
      <c r="AA740" s="316" t="str">
        <f t="shared" ca="1" si="343"/>
        <v/>
      </c>
      <c r="AC740" s="310" t="e">
        <f t="shared" ca="1" si="344"/>
        <v>#N/A</v>
      </c>
      <c r="AD740" s="323" t="e">
        <f t="shared" ca="1" si="345"/>
        <v>#N/A</v>
      </c>
      <c r="AE740" s="324" t="e">
        <f t="shared" ca="1" si="324"/>
        <v>#N/A</v>
      </c>
      <c r="AG740" s="306">
        <f t="shared" ca="1" si="346"/>
        <v>1.466959277536505</v>
      </c>
      <c r="AH740" s="304">
        <f t="shared" ca="1" si="347"/>
        <v>-8.3180876210293757</v>
      </c>
    </row>
    <row r="741" spans="1:34" x14ac:dyDescent="0.3">
      <c r="A741" s="347">
        <f t="shared" ca="1" si="325"/>
        <v>1E-4</v>
      </c>
      <c r="B741" s="304">
        <f t="shared" ca="1" si="326"/>
        <v>16.13959999999987</v>
      </c>
      <c r="D741" s="306">
        <f t="shared" ca="1" si="327"/>
        <v>-0.59290408862881017</v>
      </c>
      <c r="E741" s="307">
        <f t="shared" ca="1" si="328"/>
        <v>-1.5130189630064308</v>
      </c>
      <c r="F741" s="304">
        <f t="shared" ca="1" si="329"/>
        <v>1.6250420427576067</v>
      </c>
      <c r="G741" s="306">
        <f t="shared" ca="1" si="330"/>
        <v>3.7308198894019493</v>
      </c>
      <c r="H741" s="307">
        <f t="shared" ca="1" si="331"/>
        <v>-52.209327119511386</v>
      </c>
      <c r="I741" s="304">
        <f t="shared" ca="1" si="332"/>
        <v>52.342457482614478</v>
      </c>
      <c r="J741" s="306">
        <f t="shared" ca="1" si="333"/>
        <v>150.09587023194715</v>
      </c>
      <c r="K741" s="307">
        <f t="shared" ca="1" si="334"/>
        <v>-4.8904540007740209</v>
      </c>
      <c r="L741" s="304">
        <f t="shared" ca="1" si="319"/>
        <v>150.17551997918704</v>
      </c>
      <c r="M741" s="306">
        <f t="shared" ca="1" si="335"/>
        <v>-1.4994587102524535</v>
      </c>
      <c r="N741" s="304">
        <f t="shared" ca="1" si="336"/>
        <v>-85.912655651595372</v>
      </c>
      <c r="P741" s="310">
        <f t="shared" ca="1" si="337"/>
        <v>23</v>
      </c>
      <c r="Q741" s="304">
        <f t="shared" ca="1" si="338"/>
        <v>0</v>
      </c>
      <c r="R741" s="306">
        <f t="shared" ca="1" si="339"/>
        <v>0</v>
      </c>
      <c r="S741" s="307">
        <f t="shared" ca="1" si="340"/>
        <v>0.4270000000000001</v>
      </c>
      <c r="T741" s="304">
        <f t="shared" ca="1" si="320"/>
        <v>4.1888700000000014</v>
      </c>
      <c r="U741" s="311">
        <f t="shared" ca="1" si="321"/>
        <v>0</v>
      </c>
      <c r="V741" s="306">
        <f t="shared" ca="1" si="322"/>
        <v>1.2255992271397333</v>
      </c>
      <c r="W741" s="304">
        <f t="shared" ca="1" si="323"/>
        <v>3.5518669402679581</v>
      </c>
      <c r="Y741" s="314" t="str">
        <f t="shared" ca="1" si="341"/>
        <v/>
      </c>
      <c r="Z741" s="315" t="str">
        <f t="shared" ca="1" si="342"/>
        <v/>
      </c>
      <c r="AA741" s="316" t="str">
        <f t="shared" ca="1" si="343"/>
        <v/>
      </c>
      <c r="AC741" s="310" t="e">
        <f t="shared" ca="1" si="344"/>
        <v>#N/A</v>
      </c>
      <c r="AD741" s="323" t="e">
        <f t="shared" ca="1" si="345"/>
        <v>#N/A</v>
      </c>
      <c r="AE741" s="324" t="e">
        <f t="shared" ca="1" si="324"/>
        <v>#N/A</v>
      </c>
      <c r="AG741" s="306">
        <f t="shared" ca="1" si="346"/>
        <v>1.466909243665965</v>
      </c>
      <c r="AH741" s="304">
        <f t="shared" ca="1" si="347"/>
        <v>-8.3181385890440449</v>
      </c>
    </row>
    <row r="742" spans="1:34" x14ac:dyDescent="0.3">
      <c r="A742" s="347">
        <f t="shared" ca="1" si="325"/>
        <v>1E-4</v>
      </c>
      <c r="B742" s="304">
        <f t="shared" ca="1" si="326"/>
        <v>16.13969999999987</v>
      </c>
      <c r="D742" s="306">
        <f t="shared" ca="1" si="327"/>
        <v>-0.59289663746471255</v>
      </c>
      <c r="E742" s="307">
        <f t="shared" ca="1" si="328"/>
        <v>-1.5129673339670138</v>
      </c>
      <c r="F742" s="304">
        <f t="shared" ca="1" si="329"/>
        <v>1.6249912542436085</v>
      </c>
      <c r="G742" s="306">
        <f t="shared" ca="1" si="330"/>
        <v>3.7307605997382027</v>
      </c>
      <c r="H742" s="307">
        <f t="shared" ca="1" si="331"/>
        <v>-52.209478416244785</v>
      </c>
      <c r="I742" s="304">
        <f t="shared" ca="1" si="332"/>
        <v>52.342604168582305</v>
      </c>
      <c r="J742" s="306">
        <f t="shared" ca="1" si="333"/>
        <v>150.09587023194715</v>
      </c>
      <c r="K742" s="307">
        <f t="shared" ca="1" si="334"/>
        <v>-4.8956749410508085</v>
      </c>
      <c r="L742" s="304">
        <f t="shared" ca="1" si="319"/>
        <v>150.17569008935484</v>
      </c>
      <c r="M742" s="306">
        <f t="shared" ca="1" si="335"/>
        <v>-1.4994600461214043</v>
      </c>
      <c r="N742" s="304">
        <f t="shared" ca="1" si="336"/>
        <v>-85.912732191248224</v>
      </c>
      <c r="P742" s="310">
        <f t="shared" ca="1" si="337"/>
        <v>23</v>
      </c>
      <c r="Q742" s="304">
        <f t="shared" ca="1" si="338"/>
        <v>0</v>
      </c>
      <c r="R742" s="306">
        <f t="shared" ca="1" si="339"/>
        <v>0</v>
      </c>
      <c r="S742" s="307">
        <f t="shared" ca="1" si="340"/>
        <v>0.4270000000000001</v>
      </c>
      <c r="T742" s="304">
        <f t="shared" ca="1" si="320"/>
        <v>4.1888700000000014</v>
      </c>
      <c r="U742" s="311">
        <f t="shared" ca="1" si="321"/>
        <v>0</v>
      </c>
      <c r="V742" s="306">
        <f t="shared" ca="1" si="322"/>
        <v>1.2255998670179751</v>
      </c>
      <c r="W742" s="304">
        <f t="shared" ca="1" si="323"/>
        <v>3.5518887024180064</v>
      </c>
      <c r="Y742" s="314" t="str">
        <f t="shared" ca="1" si="341"/>
        <v/>
      </c>
      <c r="Z742" s="315" t="str">
        <f t="shared" ca="1" si="342"/>
        <v/>
      </c>
      <c r="AA742" s="316" t="str">
        <f t="shared" ca="1" si="343"/>
        <v/>
      </c>
      <c r="AC742" s="310" t="e">
        <f t="shared" ca="1" si="344"/>
        <v>#N/A</v>
      </c>
      <c r="AD742" s="323" t="e">
        <f t="shared" ca="1" si="345"/>
        <v>#N/A</v>
      </c>
      <c r="AE742" s="324" t="e">
        <f t="shared" ca="1" si="324"/>
        <v>#N/A</v>
      </c>
      <c r="AG742" s="306">
        <f t="shared" ca="1" si="346"/>
        <v>1.4668592111539294</v>
      </c>
      <c r="AH742" s="304">
        <f t="shared" ca="1" si="347"/>
        <v>-8.3181895556626628</v>
      </c>
    </row>
    <row r="743" spans="1:34" x14ac:dyDescent="0.3">
      <c r="A743" s="347">
        <f t="shared" ca="1" si="325"/>
        <v>1E-4</v>
      </c>
      <c r="B743" s="304">
        <f t="shared" ca="1" si="326"/>
        <v>16.13979999999987</v>
      </c>
      <c r="D743" s="306">
        <f t="shared" ca="1" si="327"/>
        <v>-0.59288918630249776</v>
      </c>
      <c r="E743" s="307">
        <f t="shared" ca="1" si="328"/>
        <v>-1.512915706342195</v>
      </c>
      <c r="F743" s="304">
        <f t="shared" ca="1" si="329"/>
        <v>1.6249404671345165</v>
      </c>
      <c r="G743" s="306">
        <f t="shared" ca="1" si="330"/>
        <v>3.7307013108195726</v>
      </c>
      <c r="H743" s="307">
        <f t="shared" ca="1" si="331"/>
        <v>-52.209629707815417</v>
      </c>
      <c r="I743" s="304">
        <f t="shared" ca="1" si="332"/>
        <v>52.342750849546995</v>
      </c>
      <c r="J743" s="306">
        <f t="shared" ca="1" si="333"/>
        <v>150.09587023194715</v>
      </c>
      <c r="K743" s="307">
        <f t="shared" ca="1" si="334"/>
        <v>-4.9008958964570111</v>
      </c>
      <c r="L743" s="304">
        <f t="shared" ca="1" si="319"/>
        <v>150.17586038133234</v>
      </c>
      <c r="M743" s="306">
        <f t="shared" ca="1" si="335"/>
        <v>-1.4994613819616385</v>
      </c>
      <c r="N743" s="304">
        <f t="shared" ca="1" si="336"/>
        <v>-85.912808729255758</v>
      </c>
      <c r="P743" s="310">
        <f t="shared" ca="1" si="337"/>
        <v>23</v>
      </c>
      <c r="Q743" s="304">
        <f t="shared" ca="1" si="338"/>
        <v>0</v>
      </c>
      <c r="R743" s="306">
        <f t="shared" ca="1" si="339"/>
        <v>0</v>
      </c>
      <c r="S743" s="307">
        <f t="shared" ca="1" si="340"/>
        <v>0.4270000000000001</v>
      </c>
      <c r="T743" s="304">
        <f t="shared" ca="1" si="320"/>
        <v>4.1888700000000014</v>
      </c>
      <c r="U743" s="311">
        <f t="shared" ca="1" si="321"/>
        <v>0</v>
      </c>
      <c r="V743" s="306">
        <f t="shared" ca="1" si="322"/>
        <v>1.2256005068984062</v>
      </c>
      <c r="W743" s="304">
        <f t="shared" ca="1" si="323"/>
        <v>3.551910463971963</v>
      </c>
      <c r="Y743" s="314" t="str">
        <f t="shared" ca="1" si="341"/>
        <v/>
      </c>
      <c r="Z743" s="315" t="str">
        <f t="shared" ca="1" si="342"/>
        <v/>
      </c>
      <c r="AA743" s="316" t="str">
        <f t="shared" ca="1" si="343"/>
        <v/>
      </c>
      <c r="AC743" s="310" t="e">
        <f t="shared" ca="1" si="344"/>
        <v>#N/A</v>
      </c>
      <c r="AD743" s="323" t="e">
        <f t="shared" ca="1" si="345"/>
        <v>#N/A</v>
      </c>
      <c r="AE743" s="324" t="e">
        <f t="shared" ca="1" si="324"/>
        <v>#N/A</v>
      </c>
      <c r="AG743" s="306">
        <f t="shared" ca="1" si="346"/>
        <v>1.4668091800003751</v>
      </c>
      <c r="AH743" s="304">
        <f t="shared" ca="1" si="347"/>
        <v>-8.3182405208852597</v>
      </c>
    </row>
    <row r="744" spans="1:34" x14ac:dyDescent="0.3">
      <c r="A744" s="347">
        <f t="shared" ca="1" si="325"/>
        <v>1E-4</v>
      </c>
      <c r="B744" s="304">
        <f t="shared" ca="1" si="326"/>
        <v>16.139899999999869</v>
      </c>
      <c r="D744" s="306">
        <f t="shared" ca="1" si="327"/>
        <v>-0.59288173514217168</v>
      </c>
      <c r="E744" s="307">
        <f t="shared" ca="1" si="328"/>
        <v>-1.5128640801319548</v>
      </c>
      <c r="F744" s="304">
        <f t="shared" ca="1" si="329"/>
        <v>1.6248896814303113</v>
      </c>
      <c r="G744" s="306">
        <f t="shared" ca="1" si="330"/>
        <v>3.7306420226460584</v>
      </c>
      <c r="H744" s="307">
        <f t="shared" ca="1" si="331"/>
        <v>-52.209780994223429</v>
      </c>
      <c r="I744" s="304">
        <f t="shared" ca="1" si="332"/>
        <v>52.342897525508718</v>
      </c>
      <c r="J744" s="306">
        <f t="shared" ca="1" si="333"/>
        <v>150.09587023194715</v>
      </c>
      <c r="K744" s="307">
        <f t="shared" ca="1" si="334"/>
        <v>-4.9061168669921127</v>
      </c>
      <c r="L744" s="304">
        <f t="shared" ca="1" si="319"/>
        <v>150.17603085512047</v>
      </c>
      <c r="M744" s="306">
        <f t="shared" ca="1" si="335"/>
        <v>-1.499462717773157</v>
      </c>
      <c r="N744" s="304">
        <f t="shared" ca="1" si="336"/>
        <v>-85.912885265617987</v>
      </c>
      <c r="P744" s="310">
        <f t="shared" ca="1" si="337"/>
        <v>23</v>
      </c>
      <c r="Q744" s="304">
        <f t="shared" ca="1" si="338"/>
        <v>0</v>
      </c>
      <c r="R744" s="306">
        <f t="shared" ca="1" si="339"/>
        <v>0</v>
      </c>
      <c r="S744" s="307">
        <f t="shared" ca="1" si="340"/>
        <v>0.4270000000000001</v>
      </c>
      <c r="T744" s="304">
        <f t="shared" ca="1" si="320"/>
        <v>4.1888700000000014</v>
      </c>
      <c r="U744" s="311">
        <f t="shared" ca="1" si="321"/>
        <v>0</v>
      </c>
      <c r="V744" s="306">
        <f t="shared" ca="1" si="322"/>
        <v>1.2256011467810244</v>
      </c>
      <c r="W744" s="304">
        <f t="shared" ca="1" si="323"/>
        <v>3.5519322249298404</v>
      </c>
      <c r="Y744" s="314" t="str">
        <f t="shared" ca="1" si="341"/>
        <v/>
      </c>
      <c r="Z744" s="315" t="str">
        <f t="shared" ca="1" si="342"/>
        <v/>
      </c>
      <c r="AA744" s="316" t="str">
        <f t="shared" ca="1" si="343"/>
        <v/>
      </c>
      <c r="AC744" s="310" t="e">
        <f t="shared" ca="1" si="344"/>
        <v>#N/A</v>
      </c>
      <c r="AD744" s="323" t="e">
        <f t="shared" ca="1" si="345"/>
        <v>#N/A</v>
      </c>
      <c r="AE744" s="324" t="e">
        <f t="shared" ca="1" si="324"/>
        <v>#N/A</v>
      </c>
      <c r="AG744" s="306">
        <f t="shared" ca="1" si="346"/>
        <v>1.4667591502052808</v>
      </c>
      <c r="AH744" s="304">
        <f t="shared" ca="1" si="347"/>
        <v>-8.318291484711855</v>
      </c>
    </row>
    <row r="745" spans="1:34" x14ac:dyDescent="0.3">
      <c r="A745" s="347">
        <f t="shared" ca="1" si="325"/>
        <v>1E-4</v>
      </c>
      <c r="B745" s="304">
        <f t="shared" ca="1" si="326"/>
        <v>16.139999999999869</v>
      </c>
      <c r="D745" s="306">
        <f t="shared" ca="1" si="327"/>
        <v>-0.59287428398373931</v>
      </c>
      <c r="E745" s="307">
        <f t="shared" ca="1" si="328"/>
        <v>-1.5128124553362596</v>
      </c>
      <c r="F745" s="304">
        <f t="shared" ca="1" si="329"/>
        <v>1.62483889713096</v>
      </c>
      <c r="G745" s="306">
        <f t="shared" ca="1" si="330"/>
        <v>3.7305827352176602</v>
      </c>
      <c r="H745" s="307">
        <f t="shared" ca="1" si="331"/>
        <v>-52.209932275468965</v>
      </c>
      <c r="I745" s="304">
        <f t="shared" ca="1" si="332"/>
        <v>52.343044196467595</v>
      </c>
      <c r="J745" s="306">
        <f t="shared" ca="1" si="333"/>
        <v>150.09587023194715</v>
      </c>
      <c r="K745" s="307">
        <f t="shared" ca="1" si="334"/>
        <v>-4.9113378526555973</v>
      </c>
      <c r="L745" s="304">
        <f t="shared" ca="1" si="319"/>
        <v>150.1762015107202</v>
      </c>
      <c r="M745" s="306">
        <f t="shared" ca="1" si="335"/>
        <v>-1.4994640535559607</v>
      </c>
      <c r="N745" s="304">
        <f t="shared" ca="1" si="336"/>
        <v>-85.912961800334983</v>
      </c>
      <c r="P745" s="310">
        <f t="shared" ca="1" si="337"/>
        <v>23</v>
      </c>
      <c r="Q745" s="304">
        <f t="shared" ca="1" si="338"/>
        <v>0</v>
      </c>
      <c r="R745" s="306">
        <f t="shared" ca="1" si="339"/>
        <v>0</v>
      </c>
      <c r="S745" s="307">
        <f t="shared" ca="1" si="340"/>
        <v>0.4270000000000001</v>
      </c>
      <c r="T745" s="304">
        <f t="shared" ca="1" si="320"/>
        <v>4.1888700000000014</v>
      </c>
      <c r="U745" s="311">
        <f t="shared" ca="1" si="321"/>
        <v>0</v>
      </c>
      <c r="V745" s="306">
        <f t="shared" ca="1" si="322"/>
        <v>1.225601786665832</v>
      </c>
      <c r="W745" s="304">
        <f t="shared" ca="1" si="323"/>
        <v>3.5519539852916533</v>
      </c>
      <c r="Y745" s="314" t="str">
        <f t="shared" ca="1" si="341"/>
        <v/>
      </c>
      <c r="Z745" s="315" t="str">
        <f t="shared" ca="1" si="342"/>
        <v/>
      </c>
      <c r="AA745" s="316" t="str">
        <f t="shared" ca="1" si="343"/>
        <v/>
      </c>
      <c r="AC745" s="310" t="e">
        <f t="shared" ca="1" si="344"/>
        <v>#N/A</v>
      </c>
      <c r="AD745" s="323" t="e">
        <f t="shared" ca="1" si="345"/>
        <v>#N/A</v>
      </c>
      <c r="AE745" s="324" t="e">
        <f t="shared" ca="1" si="324"/>
        <v>#N/A</v>
      </c>
      <c r="AG745" s="306">
        <f t="shared" ca="1" si="346"/>
        <v>1.4667091217686163</v>
      </c>
      <c r="AH745" s="304">
        <f t="shared" ca="1" si="347"/>
        <v>-8.3183424471424807</v>
      </c>
    </row>
    <row r="746" spans="1:34" x14ac:dyDescent="0.3">
      <c r="A746" s="347">
        <f t="shared" ca="1" si="325"/>
        <v>1E-4</v>
      </c>
      <c r="B746" s="304">
        <f t="shared" ca="1" si="326"/>
        <v>16.140099999999869</v>
      </c>
      <c r="D746" s="306">
        <f t="shared" ca="1" si="327"/>
        <v>-0.59286683282720565</v>
      </c>
      <c r="E746" s="307">
        <f t="shared" ca="1" si="328"/>
        <v>-1.5127608319550738</v>
      </c>
      <c r="F746" s="304">
        <f t="shared" ca="1" si="329"/>
        <v>1.6247881142364282</v>
      </c>
      <c r="G746" s="306">
        <f t="shared" ca="1" si="330"/>
        <v>3.7305234485343775</v>
      </c>
      <c r="H746" s="307">
        <f t="shared" ca="1" si="331"/>
        <v>-52.21008355155216</v>
      </c>
      <c r="I746" s="304">
        <f t="shared" ca="1" si="332"/>
        <v>52.343190862423761</v>
      </c>
      <c r="J746" s="306">
        <f t="shared" ca="1" si="333"/>
        <v>150.09587023194715</v>
      </c>
      <c r="K746" s="307">
        <f t="shared" ca="1" si="334"/>
        <v>-4.916558853446948</v>
      </c>
      <c r="L746" s="304">
        <f t="shared" ca="1" si="319"/>
        <v>150.17637234813245</v>
      </c>
      <c r="M746" s="306">
        <f t="shared" ca="1" si="335"/>
        <v>-1.4994653893100505</v>
      </c>
      <c r="N746" s="304">
        <f t="shared" ca="1" si="336"/>
        <v>-85.913038333406803</v>
      </c>
      <c r="P746" s="310">
        <f t="shared" ca="1" si="337"/>
        <v>23</v>
      </c>
      <c r="Q746" s="304">
        <f t="shared" ca="1" si="338"/>
        <v>0</v>
      </c>
      <c r="R746" s="306">
        <f t="shared" ca="1" si="339"/>
        <v>0</v>
      </c>
      <c r="S746" s="307">
        <f t="shared" ca="1" si="340"/>
        <v>0.4270000000000001</v>
      </c>
      <c r="T746" s="304">
        <f t="shared" ca="1" si="320"/>
        <v>4.1888700000000014</v>
      </c>
      <c r="U746" s="311">
        <f t="shared" ca="1" si="321"/>
        <v>0</v>
      </c>
      <c r="V746" s="306">
        <f t="shared" ca="1" si="322"/>
        <v>1.2256024265528271</v>
      </c>
      <c r="W746" s="304">
        <f t="shared" ca="1" si="323"/>
        <v>3.5519757450574101</v>
      </c>
      <c r="Y746" s="314" t="str">
        <f t="shared" ca="1" si="341"/>
        <v/>
      </c>
      <c r="Z746" s="315" t="str">
        <f t="shared" ca="1" si="342"/>
        <v/>
      </c>
      <c r="AA746" s="316" t="str">
        <f t="shared" ca="1" si="343"/>
        <v/>
      </c>
      <c r="AC746" s="310" t="e">
        <f t="shared" ca="1" si="344"/>
        <v>#N/A</v>
      </c>
      <c r="AD746" s="323" t="e">
        <f t="shared" ca="1" si="345"/>
        <v>#N/A</v>
      </c>
      <c r="AE746" s="324" t="e">
        <f t="shared" ca="1" si="324"/>
        <v>#N/A</v>
      </c>
      <c r="AG746" s="306">
        <f t="shared" ca="1" si="346"/>
        <v>1.4666590946903497</v>
      </c>
      <c r="AH746" s="304">
        <f t="shared" ca="1" si="347"/>
        <v>-8.3183934081771724</v>
      </c>
    </row>
    <row r="747" spans="1:34" x14ac:dyDescent="0.3">
      <c r="A747" s="347">
        <f t="shared" ca="1" si="325"/>
        <v>1E-4</v>
      </c>
      <c r="B747" s="304">
        <f t="shared" ca="1" si="326"/>
        <v>16.140199999999869</v>
      </c>
      <c r="D747" s="306">
        <f t="shared" ca="1" si="327"/>
        <v>-0.59285938167257468</v>
      </c>
      <c r="E747" s="307">
        <f t="shared" ca="1" si="328"/>
        <v>-1.5127092099883814</v>
      </c>
      <c r="F747" s="304">
        <f t="shared" ca="1" si="329"/>
        <v>1.6247373327466998</v>
      </c>
      <c r="G747" s="306">
        <f t="shared" ca="1" si="330"/>
        <v>3.7304641625962103</v>
      </c>
      <c r="H747" s="307">
        <f t="shared" ca="1" si="331"/>
        <v>-52.210234822473161</v>
      </c>
      <c r="I747" s="304">
        <f t="shared" ca="1" si="332"/>
        <v>52.343337523377357</v>
      </c>
      <c r="J747" s="306">
        <f t="shared" ca="1" si="333"/>
        <v>150.09587023194715</v>
      </c>
      <c r="K747" s="307">
        <f t="shared" ca="1" si="334"/>
        <v>-4.9217798693656496</v>
      </c>
      <c r="L747" s="304">
        <f t="shared" ca="1" si="319"/>
        <v>150.17654336735816</v>
      </c>
      <c r="M747" s="306">
        <f t="shared" ca="1" si="335"/>
        <v>-1.499466725035427</v>
      </c>
      <c r="N747" s="304">
        <f t="shared" ca="1" si="336"/>
        <v>-85.91311486483346</v>
      </c>
      <c r="P747" s="310">
        <f t="shared" ca="1" si="337"/>
        <v>23</v>
      </c>
      <c r="Q747" s="304">
        <f t="shared" ca="1" si="338"/>
        <v>0</v>
      </c>
      <c r="R747" s="306">
        <f t="shared" ca="1" si="339"/>
        <v>0</v>
      </c>
      <c r="S747" s="307">
        <f t="shared" ca="1" si="340"/>
        <v>0.4270000000000001</v>
      </c>
      <c r="T747" s="304">
        <f t="shared" ca="1" si="320"/>
        <v>4.1888700000000014</v>
      </c>
      <c r="U747" s="311">
        <f t="shared" ca="1" si="321"/>
        <v>0</v>
      </c>
      <c r="V747" s="306">
        <f t="shared" ca="1" si="322"/>
        <v>1.225603066442011</v>
      </c>
      <c r="W747" s="304">
        <f t="shared" ca="1" si="323"/>
        <v>3.5519975042271232</v>
      </c>
      <c r="Y747" s="314" t="str">
        <f t="shared" ca="1" si="341"/>
        <v/>
      </c>
      <c r="Z747" s="315" t="str">
        <f t="shared" ca="1" si="342"/>
        <v/>
      </c>
      <c r="AA747" s="316" t="str">
        <f t="shared" ca="1" si="343"/>
        <v/>
      </c>
      <c r="AC747" s="310" t="e">
        <f t="shared" ca="1" si="344"/>
        <v>#N/A</v>
      </c>
      <c r="AD747" s="323" t="e">
        <f t="shared" ca="1" si="345"/>
        <v>#N/A</v>
      </c>
      <c r="AE747" s="324" t="e">
        <f t="shared" ca="1" si="324"/>
        <v>#N/A</v>
      </c>
      <c r="AG747" s="306">
        <f t="shared" ca="1" si="346"/>
        <v>1.4666090689704649</v>
      </c>
      <c r="AH747" s="304">
        <f t="shared" ca="1" si="347"/>
        <v>-8.3184443678159461</v>
      </c>
    </row>
    <row r="748" spans="1:34" x14ac:dyDescent="0.3">
      <c r="A748" s="347">
        <f t="shared" ca="1" si="325"/>
        <v>1E-4</v>
      </c>
      <c r="B748" s="304">
        <f t="shared" ca="1" si="326"/>
        <v>16.140299999999868</v>
      </c>
      <c r="D748" s="306">
        <f t="shared" ca="1" si="327"/>
        <v>-0.59285193051985319</v>
      </c>
      <c r="E748" s="307">
        <f t="shared" ca="1" si="328"/>
        <v>-1.5126575894361469</v>
      </c>
      <c r="F748" s="304">
        <f t="shared" ca="1" si="329"/>
        <v>1.6246865526617409</v>
      </c>
      <c r="G748" s="306">
        <f t="shared" ca="1" si="330"/>
        <v>3.7304048774031582</v>
      </c>
      <c r="H748" s="307">
        <f t="shared" ca="1" si="331"/>
        <v>-52.210386088232106</v>
      </c>
      <c r="I748" s="304">
        <f t="shared" ca="1" si="332"/>
        <v>52.343484179328506</v>
      </c>
      <c r="J748" s="306">
        <f t="shared" ca="1" si="333"/>
        <v>150.09587023194715</v>
      </c>
      <c r="K748" s="307">
        <f t="shared" ca="1" si="334"/>
        <v>-4.9270009004111852</v>
      </c>
      <c r="L748" s="304">
        <f t="shared" ca="1" si="319"/>
        <v>150.17671456839827</v>
      </c>
      <c r="M748" s="306">
        <f t="shared" ca="1" si="335"/>
        <v>-1.4994680607320909</v>
      </c>
      <c r="N748" s="304">
        <f t="shared" ca="1" si="336"/>
        <v>-85.913191394615012</v>
      </c>
      <c r="P748" s="310">
        <f t="shared" ca="1" si="337"/>
        <v>23</v>
      </c>
      <c r="Q748" s="304">
        <f t="shared" ca="1" si="338"/>
        <v>0</v>
      </c>
      <c r="R748" s="306">
        <f t="shared" ca="1" si="339"/>
        <v>0</v>
      </c>
      <c r="S748" s="307">
        <f t="shared" ca="1" si="340"/>
        <v>0.4270000000000001</v>
      </c>
      <c r="T748" s="304">
        <f t="shared" ca="1" si="320"/>
        <v>4.1888700000000014</v>
      </c>
      <c r="U748" s="311">
        <f t="shared" ca="1" si="321"/>
        <v>0</v>
      </c>
      <c r="V748" s="306">
        <f t="shared" ca="1" si="322"/>
        <v>1.2256037063333827</v>
      </c>
      <c r="W748" s="304">
        <f t="shared" ca="1" si="323"/>
        <v>3.5520192628008038</v>
      </c>
      <c r="Y748" s="314" t="str">
        <f t="shared" ca="1" si="341"/>
        <v/>
      </c>
      <c r="Z748" s="315" t="str">
        <f t="shared" ca="1" si="342"/>
        <v/>
      </c>
      <c r="AA748" s="316" t="str">
        <f t="shared" ca="1" si="343"/>
        <v/>
      </c>
      <c r="AC748" s="310" t="e">
        <f t="shared" ca="1" si="344"/>
        <v>#N/A</v>
      </c>
      <c r="AD748" s="323" t="e">
        <f t="shared" ca="1" si="345"/>
        <v>#N/A</v>
      </c>
      <c r="AE748" s="324" t="e">
        <f t="shared" ca="1" si="324"/>
        <v>#N/A</v>
      </c>
      <c r="AG748" s="306">
        <f t="shared" ca="1" si="346"/>
        <v>1.4665590446089318</v>
      </c>
      <c r="AH748" s="304">
        <f t="shared" ca="1" si="347"/>
        <v>-8.3184953260588355</v>
      </c>
    </row>
    <row r="749" spans="1:34" x14ac:dyDescent="0.3">
      <c r="A749" s="347">
        <f t="shared" ca="1" si="325"/>
        <v>1E-4</v>
      </c>
      <c r="B749" s="304">
        <f t="shared" ca="1" si="326"/>
        <v>16.140399999999868</v>
      </c>
      <c r="D749" s="306">
        <f t="shared" ca="1" si="327"/>
        <v>-0.59284447936904738</v>
      </c>
      <c r="E749" s="307">
        <f t="shared" ca="1" si="328"/>
        <v>-1.5126059702983508</v>
      </c>
      <c r="F749" s="304">
        <f t="shared" ca="1" si="329"/>
        <v>1.624635773981532</v>
      </c>
      <c r="G749" s="306">
        <f t="shared" ca="1" si="330"/>
        <v>3.7303455929552212</v>
      </c>
      <c r="H749" s="307">
        <f t="shared" ca="1" si="331"/>
        <v>-52.210537348829135</v>
      </c>
      <c r="I749" s="304">
        <f t="shared" ca="1" si="332"/>
        <v>52.343630830277355</v>
      </c>
      <c r="J749" s="306">
        <f t="shared" ca="1" si="333"/>
        <v>150.09587023194715</v>
      </c>
      <c r="K749" s="307">
        <f t="shared" ca="1" si="334"/>
        <v>-4.9322219465830379</v>
      </c>
      <c r="L749" s="304">
        <f t="shared" ca="1" si="319"/>
        <v>150.17688595125372</v>
      </c>
      <c r="M749" s="306">
        <f t="shared" ca="1" si="335"/>
        <v>-1.4994693964000436</v>
      </c>
      <c r="N749" s="304">
        <f t="shared" ca="1" si="336"/>
        <v>-85.91326792275153</v>
      </c>
      <c r="P749" s="310">
        <f t="shared" ca="1" si="337"/>
        <v>23</v>
      </c>
      <c r="Q749" s="304">
        <f t="shared" ca="1" si="338"/>
        <v>0</v>
      </c>
      <c r="R749" s="306">
        <f t="shared" ca="1" si="339"/>
        <v>0</v>
      </c>
      <c r="S749" s="307">
        <f t="shared" ca="1" si="340"/>
        <v>0.4270000000000001</v>
      </c>
      <c r="T749" s="304">
        <f t="shared" ca="1" si="320"/>
        <v>4.1888700000000014</v>
      </c>
      <c r="U749" s="311">
        <f t="shared" ca="1" si="321"/>
        <v>0</v>
      </c>
      <c r="V749" s="306">
        <f t="shared" ca="1" si="322"/>
        <v>1.2256043462269428</v>
      </c>
      <c r="W749" s="304">
        <f t="shared" ca="1" si="323"/>
        <v>3.5520410207784652</v>
      </c>
      <c r="Y749" s="314" t="str">
        <f t="shared" ca="1" si="341"/>
        <v/>
      </c>
      <c r="Z749" s="315" t="str">
        <f t="shared" ca="1" si="342"/>
        <v/>
      </c>
      <c r="AA749" s="316" t="str">
        <f t="shared" ca="1" si="343"/>
        <v/>
      </c>
      <c r="AC749" s="310" t="e">
        <f t="shared" ca="1" si="344"/>
        <v>#N/A</v>
      </c>
      <c r="AD749" s="323" t="e">
        <f t="shared" ca="1" si="345"/>
        <v>#N/A</v>
      </c>
      <c r="AE749" s="324" t="e">
        <f t="shared" ca="1" si="324"/>
        <v>#N/A</v>
      </c>
      <c r="AG749" s="306">
        <f t="shared" ca="1" si="346"/>
        <v>1.466509021605729</v>
      </c>
      <c r="AH749" s="304">
        <f t="shared" ca="1" si="347"/>
        <v>-8.3185462829058618</v>
      </c>
    </row>
    <row r="750" spans="1:34" x14ac:dyDescent="0.3">
      <c r="A750" s="347">
        <f t="shared" ca="1" si="325"/>
        <v>1E-4</v>
      </c>
      <c r="B750" s="304">
        <f t="shared" ca="1" si="326"/>
        <v>16.140499999999868</v>
      </c>
      <c r="D750" s="306">
        <f t="shared" ca="1" si="327"/>
        <v>-0.59283702822015849</v>
      </c>
      <c r="E750" s="307">
        <f t="shared" ca="1" si="328"/>
        <v>-1.5125543525749574</v>
      </c>
      <c r="F750" s="304">
        <f t="shared" ca="1" si="329"/>
        <v>1.624584996706038</v>
      </c>
      <c r="G750" s="306">
        <f t="shared" ca="1" si="330"/>
        <v>3.7302863092523992</v>
      </c>
      <c r="H750" s="307">
        <f t="shared" ca="1" si="331"/>
        <v>-52.210688604264391</v>
      </c>
      <c r="I750" s="304">
        <f t="shared" ca="1" si="332"/>
        <v>52.343777476224041</v>
      </c>
      <c r="J750" s="306">
        <f t="shared" ca="1" si="333"/>
        <v>150.09587023194715</v>
      </c>
      <c r="K750" s="307">
        <f t="shared" ca="1" si="334"/>
        <v>-4.9374430078806926</v>
      </c>
      <c r="L750" s="304">
        <f t="shared" ca="1" si="319"/>
        <v>150.17705751592547</v>
      </c>
      <c r="M750" s="306">
        <f t="shared" ca="1" si="335"/>
        <v>-1.4994707320392853</v>
      </c>
      <c r="N750" s="304">
        <f t="shared" ca="1" si="336"/>
        <v>-85.913344449243041</v>
      </c>
      <c r="P750" s="310">
        <f t="shared" ca="1" si="337"/>
        <v>23</v>
      </c>
      <c r="Q750" s="304">
        <f t="shared" ca="1" si="338"/>
        <v>0</v>
      </c>
      <c r="R750" s="306">
        <f t="shared" ca="1" si="339"/>
        <v>0</v>
      </c>
      <c r="S750" s="307">
        <f t="shared" ca="1" si="340"/>
        <v>0.4270000000000001</v>
      </c>
      <c r="T750" s="304">
        <f t="shared" ca="1" si="320"/>
        <v>4.1888700000000014</v>
      </c>
      <c r="U750" s="311">
        <f t="shared" ca="1" si="321"/>
        <v>0</v>
      </c>
      <c r="V750" s="306">
        <f t="shared" ca="1" si="322"/>
        <v>1.2256049861226908</v>
      </c>
      <c r="W750" s="304">
        <f t="shared" ca="1" si="323"/>
        <v>3.552062778160118</v>
      </c>
      <c r="Y750" s="314" t="str">
        <f t="shared" ca="1" si="341"/>
        <v/>
      </c>
      <c r="Z750" s="315" t="str">
        <f t="shared" ca="1" si="342"/>
        <v/>
      </c>
      <c r="AA750" s="316" t="str">
        <f t="shared" ca="1" si="343"/>
        <v/>
      </c>
      <c r="AC750" s="310" t="e">
        <f t="shared" ca="1" si="344"/>
        <v>#N/A</v>
      </c>
      <c r="AD750" s="323" t="e">
        <f t="shared" ca="1" si="345"/>
        <v>#N/A</v>
      </c>
      <c r="AE750" s="324" t="e">
        <f t="shared" ca="1" si="324"/>
        <v>#N/A</v>
      </c>
      <c r="AG750" s="306">
        <f t="shared" ca="1" si="346"/>
        <v>1.4664589999608264</v>
      </c>
      <c r="AH750" s="304">
        <f t="shared" ca="1" si="347"/>
        <v>-8.318597238357059</v>
      </c>
    </row>
    <row r="751" spans="1:34" x14ac:dyDescent="0.3">
      <c r="A751" s="347">
        <f t="shared" ca="1" si="325"/>
        <v>1E-4</v>
      </c>
      <c r="B751" s="304">
        <f t="shared" ca="1" si="326"/>
        <v>16.140599999999868</v>
      </c>
      <c r="D751" s="306">
        <f t="shared" ca="1" si="327"/>
        <v>-0.5928295770731965</v>
      </c>
      <c r="E751" s="307">
        <f t="shared" ca="1" si="328"/>
        <v>-1.5125027362659438</v>
      </c>
      <c r="F751" s="304">
        <f t="shared" ca="1" si="329"/>
        <v>1.6245342208352374</v>
      </c>
      <c r="G751" s="306">
        <f t="shared" ca="1" si="330"/>
        <v>3.7302270262946919</v>
      </c>
      <c r="H751" s="307">
        <f t="shared" ca="1" si="331"/>
        <v>-52.210839854538015</v>
      </c>
      <c r="I751" s="304">
        <f t="shared" ca="1" si="332"/>
        <v>52.343924117168697</v>
      </c>
      <c r="J751" s="306">
        <f t="shared" ca="1" si="333"/>
        <v>150.09587023194715</v>
      </c>
      <c r="K751" s="307">
        <f t="shared" ca="1" si="334"/>
        <v>-4.9426640843036331</v>
      </c>
      <c r="L751" s="304">
        <f t="shared" ca="1" si="319"/>
        <v>150.17722926241441</v>
      </c>
      <c r="M751" s="306">
        <f t="shared" ca="1" si="335"/>
        <v>-1.4994720676498172</v>
      </c>
      <c r="N751" s="304">
        <f t="shared" ca="1" si="336"/>
        <v>-85.91342097408959</v>
      </c>
      <c r="P751" s="310">
        <f t="shared" ca="1" si="337"/>
        <v>23</v>
      </c>
      <c r="Q751" s="304">
        <f t="shared" ca="1" si="338"/>
        <v>0</v>
      </c>
      <c r="R751" s="306">
        <f t="shared" ca="1" si="339"/>
        <v>0</v>
      </c>
      <c r="S751" s="307">
        <f t="shared" ca="1" si="340"/>
        <v>0.4270000000000001</v>
      </c>
      <c r="T751" s="304">
        <f t="shared" ca="1" si="320"/>
        <v>4.1888700000000014</v>
      </c>
      <c r="U751" s="311">
        <f t="shared" ca="1" si="321"/>
        <v>0</v>
      </c>
      <c r="V751" s="306">
        <f t="shared" ca="1" si="322"/>
        <v>1.2256056260206265</v>
      </c>
      <c r="W751" s="304">
        <f t="shared" ca="1" si="323"/>
        <v>3.5520845349457728</v>
      </c>
      <c r="Y751" s="314" t="str">
        <f t="shared" ca="1" si="341"/>
        <v/>
      </c>
      <c r="Z751" s="315" t="str">
        <f t="shared" ca="1" si="342"/>
        <v/>
      </c>
      <c r="AA751" s="316" t="str">
        <f t="shared" ca="1" si="343"/>
        <v/>
      </c>
      <c r="AC751" s="310" t="e">
        <f t="shared" ca="1" si="344"/>
        <v>#N/A</v>
      </c>
      <c r="AD751" s="323" t="e">
        <f t="shared" ca="1" si="345"/>
        <v>#N/A</v>
      </c>
      <c r="AE751" s="324" t="e">
        <f t="shared" ca="1" si="324"/>
        <v>#N/A</v>
      </c>
      <c r="AG751" s="306">
        <f t="shared" ca="1" si="346"/>
        <v>1.466408979674199</v>
      </c>
      <c r="AH751" s="304">
        <f t="shared" ca="1" si="347"/>
        <v>-8.3186481924124518</v>
      </c>
    </row>
    <row r="752" spans="1:34" x14ac:dyDescent="0.3">
      <c r="A752" s="347">
        <f t="shared" ca="1" si="325"/>
        <v>1E-4</v>
      </c>
      <c r="B752" s="304">
        <f t="shared" ca="1" si="326"/>
        <v>16.140699999999867</v>
      </c>
      <c r="D752" s="306">
        <f t="shared" ca="1" si="327"/>
        <v>-0.59282212592816208</v>
      </c>
      <c r="E752" s="307">
        <f t="shared" ca="1" si="328"/>
        <v>-1.5124511213712815</v>
      </c>
      <c r="F752" s="304">
        <f t="shared" ca="1" si="329"/>
        <v>1.6244834463691011</v>
      </c>
      <c r="G752" s="306">
        <f t="shared" ca="1" si="330"/>
        <v>3.7301677440820993</v>
      </c>
      <c r="H752" s="307">
        <f t="shared" ca="1" si="331"/>
        <v>-52.210991099650151</v>
      </c>
      <c r="I752" s="304">
        <f t="shared" ca="1" si="332"/>
        <v>52.344070753111453</v>
      </c>
      <c r="J752" s="306">
        <f t="shared" ca="1" si="333"/>
        <v>150.09587023194715</v>
      </c>
      <c r="K752" s="307">
        <f t="shared" ca="1" si="334"/>
        <v>-4.9478851758513427</v>
      </c>
      <c r="L752" s="304">
        <f t="shared" ca="1" si="319"/>
        <v>150.17740119072153</v>
      </c>
      <c r="M752" s="306">
        <f t="shared" ca="1" si="335"/>
        <v>-1.4994734032316399</v>
      </c>
      <c r="N752" s="304">
        <f t="shared" ca="1" si="336"/>
        <v>-85.913497497291218</v>
      </c>
      <c r="P752" s="310">
        <f t="shared" ca="1" si="337"/>
        <v>23</v>
      </c>
      <c r="Q752" s="304">
        <f t="shared" ca="1" si="338"/>
        <v>0</v>
      </c>
      <c r="R752" s="306">
        <f t="shared" ca="1" si="339"/>
        <v>0</v>
      </c>
      <c r="S752" s="307">
        <f t="shared" ca="1" si="340"/>
        <v>0.4270000000000001</v>
      </c>
      <c r="T752" s="304">
        <f t="shared" ca="1" si="320"/>
        <v>4.1888700000000014</v>
      </c>
      <c r="U752" s="311">
        <f t="shared" ca="1" si="321"/>
        <v>0</v>
      </c>
      <c r="V752" s="306">
        <f t="shared" ca="1" si="322"/>
        <v>1.2256062659207498</v>
      </c>
      <c r="W752" s="304">
        <f t="shared" ca="1" si="323"/>
        <v>3.5521062911354431</v>
      </c>
      <c r="Y752" s="314" t="str">
        <f t="shared" ca="1" si="341"/>
        <v/>
      </c>
      <c r="Z752" s="315" t="str">
        <f t="shared" ca="1" si="342"/>
        <v/>
      </c>
      <c r="AA752" s="316" t="str">
        <f t="shared" ca="1" si="343"/>
        <v/>
      </c>
      <c r="AC752" s="310" t="e">
        <f t="shared" ca="1" si="344"/>
        <v>#N/A</v>
      </c>
      <c r="AD752" s="323" t="e">
        <f t="shared" ca="1" si="345"/>
        <v>#N/A</v>
      </c>
      <c r="AE752" s="324" t="e">
        <f t="shared" ca="1" si="324"/>
        <v>#N/A</v>
      </c>
      <c r="AG752" s="306">
        <f t="shared" ca="1" si="346"/>
        <v>1.4663589607458238</v>
      </c>
      <c r="AH752" s="304">
        <f t="shared" ca="1" si="347"/>
        <v>-8.3186991450720651</v>
      </c>
    </row>
    <row r="753" spans="1:34" x14ac:dyDescent="0.3">
      <c r="A753" s="347">
        <f t="shared" ca="1" si="325"/>
        <v>1E-4</v>
      </c>
      <c r="B753" s="304">
        <f t="shared" ca="1" si="326"/>
        <v>16.140799999999867</v>
      </c>
      <c r="D753" s="306">
        <f t="shared" ca="1" si="327"/>
        <v>-0.59281467478506389</v>
      </c>
      <c r="E753" s="307">
        <f t="shared" ca="1" si="328"/>
        <v>-1.5123995078909385</v>
      </c>
      <c r="F753" s="304">
        <f t="shared" ca="1" si="329"/>
        <v>1.6244326733075993</v>
      </c>
      <c r="G753" s="306">
        <f t="shared" ca="1" si="330"/>
        <v>3.7301084626146208</v>
      </c>
      <c r="H753" s="307">
        <f t="shared" ca="1" si="331"/>
        <v>-52.21114233960094</v>
      </c>
      <c r="I753" s="304">
        <f t="shared" ca="1" si="332"/>
        <v>52.344217384052456</v>
      </c>
      <c r="J753" s="306">
        <f t="shared" ca="1" si="333"/>
        <v>150.09587023194715</v>
      </c>
      <c r="K753" s="307">
        <f t="shared" ca="1" si="334"/>
        <v>-4.9531062825233052</v>
      </c>
      <c r="L753" s="304">
        <f t="shared" ca="1" si="319"/>
        <v>150.17757330084771</v>
      </c>
      <c r="M753" s="306">
        <f t="shared" ca="1" si="335"/>
        <v>-1.4994747387847545</v>
      </c>
      <c r="N753" s="304">
        <f t="shared" ca="1" si="336"/>
        <v>-85.913574018847996</v>
      </c>
      <c r="P753" s="310">
        <f t="shared" ca="1" si="337"/>
        <v>23</v>
      </c>
      <c r="Q753" s="304">
        <f t="shared" ca="1" si="338"/>
        <v>0</v>
      </c>
      <c r="R753" s="306">
        <f t="shared" ca="1" si="339"/>
        <v>0</v>
      </c>
      <c r="S753" s="307">
        <f t="shared" ca="1" si="340"/>
        <v>0.4270000000000001</v>
      </c>
      <c r="T753" s="304">
        <f t="shared" ca="1" si="320"/>
        <v>4.1888700000000014</v>
      </c>
      <c r="U753" s="311">
        <f t="shared" ca="1" si="321"/>
        <v>0</v>
      </c>
      <c r="V753" s="306">
        <f t="shared" ca="1" si="322"/>
        <v>1.2256069058230614</v>
      </c>
      <c r="W753" s="304">
        <f t="shared" ca="1" si="323"/>
        <v>3.5521280467291398</v>
      </c>
      <c r="Y753" s="314" t="str">
        <f t="shared" ca="1" si="341"/>
        <v/>
      </c>
      <c r="Z753" s="315" t="str">
        <f t="shared" ca="1" si="342"/>
        <v/>
      </c>
      <c r="AA753" s="316" t="str">
        <f t="shared" ca="1" si="343"/>
        <v/>
      </c>
      <c r="AC753" s="310" t="e">
        <f t="shared" ca="1" si="344"/>
        <v>#N/A</v>
      </c>
      <c r="AD753" s="323" t="e">
        <f t="shared" ca="1" si="345"/>
        <v>#N/A</v>
      </c>
      <c r="AE753" s="324" t="e">
        <f t="shared" ca="1" si="324"/>
        <v>#N/A</v>
      </c>
      <c r="AG753" s="306">
        <f t="shared" ca="1" si="346"/>
        <v>1.4663089431756706</v>
      </c>
      <c r="AH753" s="304">
        <f t="shared" ca="1" si="347"/>
        <v>-8.3187500963359309</v>
      </c>
    </row>
    <row r="754" spans="1:34" x14ac:dyDescent="0.3">
      <c r="A754" s="347">
        <f t="shared" ca="1" si="325"/>
        <v>1E-4</v>
      </c>
      <c r="B754" s="304">
        <f t="shared" ca="1" si="326"/>
        <v>16.140899999999867</v>
      </c>
      <c r="D754" s="306">
        <f t="shared" ca="1" si="327"/>
        <v>-0.59280722364390459</v>
      </c>
      <c r="E754" s="307">
        <f t="shared" ca="1" si="328"/>
        <v>-1.5123478958248935</v>
      </c>
      <c r="F754" s="304">
        <f t="shared" ca="1" si="329"/>
        <v>1.6243819016507102</v>
      </c>
      <c r="G754" s="306">
        <f t="shared" ca="1" si="330"/>
        <v>3.7300491818922565</v>
      </c>
      <c r="H754" s="307">
        <f t="shared" ca="1" si="331"/>
        <v>-52.211293574390524</v>
      </c>
      <c r="I754" s="304">
        <f t="shared" ca="1" si="332"/>
        <v>52.344364009991835</v>
      </c>
      <c r="J754" s="306">
        <f t="shared" ca="1" si="333"/>
        <v>150.09587023194715</v>
      </c>
      <c r="K754" s="307">
        <f t="shared" ca="1" si="334"/>
        <v>-4.9583274043190046</v>
      </c>
      <c r="L754" s="304">
        <f t="shared" ca="1" si="319"/>
        <v>150.17774559279394</v>
      </c>
      <c r="M754" s="306">
        <f t="shared" ca="1" si="335"/>
        <v>-1.4994760743091613</v>
      </c>
      <c r="N754" s="304">
        <f t="shared" ca="1" si="336"/>
        <v>-85.913650538759953</v>
      </c>
      <c r="P754" s="310">
        <f t="shared" ca="1" si="337"/>
        <v>23</v>
      </c>
      <c r="Q754" s="304">
        <f t="shared" ca="1" si="338"/>
        <v>0</v>
      </c>
      <c r="R754" s="306">
        <f t="shared" ca="1" si="339"/>
        <v>0</v>
      </c>
      <c r="S754" s="307">
        <f t="shared" ca="1" si="340"/>
        <v>0.4270000000000001</v>
      </c>
      <c r="T754" s="304">
        <f t="shared" ca="1" si="320"/>
        <v>4.1888700000000014</v>
      </c>
      <c r="U754" s="311">
        <f t="shared" ca="1" si="321"/>
        <v>0</v>
      </c>
      <c r="V754" s="306">
        <f t="shared" ca="1" si="322"/>
        <v>1.2256075457275606</v>
      </c>
      <c r="W754" s="304">
        <f t="shared" ca="1" si="323"/>
        <v>3.5521498017268756</v>
      </c>
      <c r="Y754" s="314" t="str">
        <f t="shared" ca="1" si="341"/>
        <v/>
      </c>
      <c r="Z754" s="315" t="str">
        <f t="shared" ca="1" si="342"/>
        <v/>
      </c>
      <c r="AA754" s="316" t="str">
        <f t="shared" ca="1" si="343"/>
        <v/>
      </c>
      <c r="AC754" s="310" t="e">
        <f t="shared" ca="1" si="344"/>
        <v>#N/A</v>
      </c>
      <c r="AD754" s="323" t="e">
        <f t="shared" ca="1" si="345"/>
        <v>#N/A</v>
      </c>
      <c r="AE754" s="324" t="e">
        <f t="shared" ca="1" si="324"/>
        <v>#N/A</v>
      </c>
      <c r="AG754" s="306">
        <f t="shared" ca="1" si="346"/>
        <v>1.4662589269637163</v>
      </c>
      <c r="AH754" s="304">
        <f t="shared" ca="1" si="347"/>
        <v>-8.3188010462040722</v>
      </c>
    </row>
    <row r="755" spans="1:34" x14ac:dyDescent="0.3">
      <c r="A755" s="347">
        <f t="shared" ca="1" si="325"/>
        <v>1E-4</v>
      </c>
      <c r="B755" s="304">
        <f t="shared" ca="1" si="326"/>
        <v>16.140999999999867</v>
      </c>
      <c r="D755" s="306">
        <f t="shared" ca="1" si="327"/>
        <v>-0.5927997725046924</v>
      </c>
      <c r="E755" s="307">
        <f t="shared" ca="1" si="328"/>
        <v>-1.5122962851731145</v>
      </c>
      <c r="F755" s="304">
        <f t="shared" ca="1" si="329"/>
        <v>1.6243311313984035</v>
      </c>
      <c r="G755" s="306">
        <f t="shared" ca="1" si="330"/>
        <v>3.729989901915006</v>
      </c>
      <c r="H755" s="307">
        <f t="shared" ca="1" si="331"/>
        <v>-52.211444804019038</v>
      </c>
      <c r="I755" s="304">
        <f t="shared" ca="1" si="332"/>
        <v>52.344510630929726</v>
      </c>
      <c r="J755" s="306">
        <f t="shared" ca="1" si="333"/>
        <v>150.09587023194715</v>
      </c>
      <c r="K755" s="307">
        <f t="shared" ca="1" si="334"/>
        <v>-4.963548541237925</v>
      </c>
      <c r="L755" s="304">
        <f t="shared" ca="1" si="319"/>
        <v>150.17791806656112</v>
      </c>
      <c r="M755" s="306">
        <f t="shared" ca="1" si="335"/>
        <v>-1.4994774098048618</v>
      </c>
      <c r="N755" s="304">
        <f t="shared" ca="1" si="336"/>
        <v>-85.913727057027145</v>
      </c>
      <c r="P755" s="310">
        <f t="shared" ca="1" si="337"/>
        <v>23</v>
      </c>
      <c r="Q755" s="304">
        <f t="shared" ca="1" si="338"/>
        <v>0</v>
      </c>
      <c r="R755" s="306">
        <f t="shared" ca="1" si="339"/>
        <v>0</v>
      </c>
      <c r="S755" s="307">
        <f t="shared" ca="1" si="340"/>
        <v>0.4270000000000001</v>
      </c>
      <c r="T755" s="304">
        <f t="shared" ca="1" si="320"/>
        <v>4.1888700000000014</v>
      </c>
      <c r="U755" s="311">
        <f t="shared" ca="1" si="321"/>
        <v>0</v>
      </c>
      <c r="V755" s="306">
        <f t="shared" ca="1" si="322"/>
        <v>1.2256081856342473</v>
      </c>
      <c r="W755" s="304">
        <f t="shared" ca="1" si="323"/>
        <v>3.55217155612866</v>
      </c>
      <c r="Y755" s="314" t="str">
        <f t="shared" ca="1" si="341"/>
        <v/>
      </c>
      <c r="Z755" s="315" t="str">
        <f t="shared" ca="1" si="342"/>
        <v/>
      </c>
      <c r="AA755" s="316" t="str">
        <f t="shared" ca="1" si="343"/>
        <v/>
      </c>
      <c r="AC755" s="310" t="e">
        <f t="shared" ca="1" si="344"/>
        <v>#N/A</v>
      </c>
      <c r="AD755" s="323" t="e">
        <f t="shared" ca="1" si="345"/>
        <v>#N/A</v>
      </c>
      <c r="AE755" s="324" t="e">
        <f t="shared" ca="1" si="324"/>
        <v>#N/A</v>
      </c>
      <c r="AG755" s="306">
        <f t="shared" ca="1" si="346"/>
        <v>1.466208912109936</v>
      </c>
      <c r="AH755" s="304">
        <f t="shared" ca="1" si="347"/>
        <v>-8.3188519946765211</v>
      </c>
    </row>
    <row r="756" spans="1:34" x14ac:dyDescent="0.3">
      <c r="A756" s="347">
        <f t="shared" ca="1" si="325"/>
        <v>1E-4</v>
      </c>
      <c r="B756" s="304">
        <f t="shared" ca="1" si="326"/>
        <v>16.141099999999867</v>
      </c>
      <c r="D756" s="306">
        <f t="shared" ca="1" si="327"/>
        <v>-0.59279232136742832</v>
      </c>
      <c r="E756" s="307">
        <f t="shared" ca="1" si="328"/>
        <v>-1.5122446759355732</v>
      </c>
      <c r="F756" s="304">
        <f t="shared" ca="1" si="329"/>
        <v>1.6242803625506499</v>
      </c>
      <c r="G756" s="306">
        <f t="shared" ca="1" si="330"/>
        <v>3.7299306226828692</v>
      </c>
      <c r="H756" s="307">
        <f t="shared" ca="1" si="331"/>
        <v>-52.211596028486632</v>
      </c>
      <c r="I756" s="304">
        <f t="shared" ca="1" si="332"/>
        <v>52.344657246866262</v>
      </c>
      <c r="J756" s="306">
        <f t="shared" ca="1" si="333"/>
        <v>150.09587023194715</v>
      </c>
      <c r="K756" s="307">
        <f t="shared" ca="1" si="334"/>
        <v>-4.9687696932795502</v>
      </c>
      <c r="L756" s="304">
        <f t="shared" ca="1" si="319"/>
        <v>150.17809072215019</v>
      </c>
      <c r="M756" s="306">
        <f t="shared" ca="1" si="335"/>
        <v>-1.4994787452718563</v>
      </c>
      <c r="N756" s="304">
        <f t="shared" ca="1" si="336"/>
        <v>-85.913803573649616</v>
      </c>
      <c r="P756" s="310">
        <f t="shared" ca="1" si="337"/>
        <v>23</v>
      </c>
      <c r="Q756" s="304">
        <f t="shared" ca="1" si="338"/>
        <v>0</v>
      </c>
      <c r="R756" s="306">
        <f t="shared" ca="1" si="339"/>
        <v>0</v>
      </c>
      <c r="S756" s="307">
        <f t="shared" ca="1" si="340"/>
        <v>0.4270000000000001</v>
      </c>
      <c r="T756" s="304">
        <f t="shared" ca="1" si="320"/>
        <v>4.1888700000000014</v>
      </c>
      <c r="U756" s="311">
        <f t="shared" ca="1" si="321"/>
        <v>0</v>
      </c>
      <c r="V756" s="306">
        <f t="shared" ca="1" si="322"/>
        <v>1.2256088255431221</v>
      </c>
      <c r="W756" s="304">
        <f t="shared" ca="1" si="323"/>
        <v>3.5521933099345069</v>
      </c>
      <c r="Y756" s="314" t="str">
        <f t="shared" ca="1" si="341"/>
        <v/>
      </c>
      <c r="Z756" s="315" t="str">
        <f t="shared" ca="1" si="342"/>
        <v/>
      </c>
      <c r="AA756" s="316" t="str">
        <f t="shared" ca="1" si="343"/>
        <v/>
      </c>
      <c r="AC756" s="310" t="e">
        <f t="shared" ca="1" si="344"/>
        <v>#N/A</v>
      </c>
      <c r="AD756" s="323" t="e">
        <f t="shared" ca="1" si="345"/>
        <v>#N/A</v>
      </c>
      <c r="AE756" s="324" t="e">
        <f t="shared" ca="1" si="324"/>
        <v>#N/A</v>
      </c>
      <c r="AG756" s="306">
        <f t="shared" ca="1" si="346"/>
        <v>1.4661588986143048</v>
      </c>
      <c r="AH756" s="304">
        <f t="shared" ca="1" si="347"/>
        <v>-8.3189029417533007</v>
      </c>
    </row>
    <row r="757" spans="1:34" x14ac:dyDescent="0.3">
      <c r="A757" s="347">
        <f t="shared" ca="1" si="325"/>
        <v>1E-4</v>
      </c>
      <c r="B757" s="304">
        <f t="shared" ca="1" si="326"/>
        <v>16.141199999999866</v>
      </c>
      <c r="D757" s="306">
        <f t="shared" ca="1" si="327"/>
        <v>-0.59278487023212056</v>
      </c>
      <c r="E757" s="307">
        <f t="shared" ca="1" si="328"/>
        <v>-1.5121930681122446</v>
      </c>
      <c r="F757" s="304">
        <f t="shared" ca="1" si="329"/>
        <v>1.6242295951074268</v>
      </c>
      <c r="G757" s="306">
        <f t="shared" ca="1" si="330"/>
        <v>3.7298713441958462</v>
      </c>
      <c r="H757" s="307">
        <f t="shared" ca="1" si="331"/>
        <v>-52.21174724779344</v>
      </c>
      <c r="I757" s="304">
        <f t="shared" ca="1" si="332"/>
        <v>52.34480385780158</v>
      </c>
      <c r="J757" s="306">
        <f t="shared" ca="1" si="333"/>
        <v>150.09587023194715</v>
      </c>
      <c r="K757" s="307">
        <f t="shared" ca="1" si="334"/>
        <v>-4.9739908604433642</v>
      </c>
      <c r="L757" s="304">
        <f t="shared" ca="1" si="319"/>
        <v>150.17826355956208</v>
      </c>
      <c r="M757" s="306">
        <f t="shared" ca="1" si="335"/>
        <v>-1.499480080710146</v>
      </c>
      <c r="N757" s="304">
        <f t="shared" ca="1" si="336"/>
        <v>-85.913880088627408</v>
      </c>
      <c r="P757" s="310">
        <f t="shared" ca="1" si="337"/>
        <v>23</v>
      </c>
      <c r="Q757" s="304">
        <f t="shared" ca="1" si="338"/>
        <v>0</v>
      </c>
      <c r="R757" s="306">
        <f t="shared" ca="1" si="339"/>
        <v>0</v>
      </c>
      <c r="S757" s="307">
        <f t="shared" ca="1" si="340"/>
        <v>0.4270000000000001</v>
      </c>
      <c r="T757" s="304">
        <f t="shared" ca="1" si="320"/>
        <v>4.1888700000000014</v>
      </c>
      <c r="U757" s="311">
        <f t="shared" ca="1" si="321"/>
        <v>0</v>
      </c>
      <c r="V757" s="306">
        <f t="shared" ca="1" si="322"/>
        <v>1.2256094654541843</v>
      </c>
      <c r="W757" s="304">
        <f t="shared" ca="1" si="323"/>
        <v>3.552215063144426</v>
      </c>
      <c r="Y757" s="314" t="str">
        <f t="shared" ca="1" si="341"/>
        <v/>
      </c>
      <c r="Z757" s="315" t="str">
        <f t="shared" ca="1" si="342"/>
        <v/>
      </c>
      <c r="AA757" s="316" t="str">
        <f t="shared" ca="1" si="343"/>
        <v/>
      </c>
      <c r="AC757" s="310" t="e">
        <f t="shared" ca="1" si="344"/>
        <v>#N/A</v>
      </c>
      <c r="AD757" s="323" t="e">
        <f t="shared" ca="1" si="345"/>
        <v>#N/A</v>
      </c>
      <c r="AE757" s="324" t="e">
        <f t="shared" ca="1" si="324"/>
        <v>#N/A</v>
      </c>
      <c r="AG757" s="306">
        <f t="shared" ca="1" si="346"/>
        <v>1.4661088864767908</v>
      </c>
      <c r="AH757" s="304">
        <f t="shared" ca="1" si="347"/>
        <v>-8.3189538874344411</v>
      </c>
    </row>
    <row r="758" spans="1:34" x14ac:dyDescent="0.3">
      <c r="A758" s="347">
        <f t="shared" ca="1" si="325"/>
        <v>1E-4</v>
      </c>
      <c r="B758" s="304">
        <f t="shared" ca="1" si="326"/>
        <v>16.141299999999866</v>
      </c>
      <c r="D758" s="306">
        <f t="shared" ca="1" si="327"/>
        <v>-0.59277741909877169</v>
      </c>
      <c r="E758" s="307">
        <f t="shared" ca="1" si="328"/>
        <v>-1.5121414617031039</v>
      </c>
      <c r="F758" s="304">
        <f t="shared" ca="1" si="329"/>
        <v>1.6241788290687083</v>
      </c>
      <c r="G758" s="306">
        <f t="shared" ca="1" si="330"/>
        <v>3.7298120664539365</v>
      </c>
      <c r="H758" s="307">
        <f t="shared" ca="1" si="331"/>
        <v>-52.211898461939612</v>
      </c>
      <c r="I758" s="304">
        <f t="shared" ca="1" si="332"/>
        <v>52.344950463735827</v>
      </c>
      <c r="J758" s="306">
        <f t="shared" ca="1" si="333"/>
        <v>150.09587023194715</v>
      </c>
      <c r="K758" s="307">
        <f t="shared" ca="1" si="334"/>
        <v>-4.9792120427288511</v>
      </c>
      <c r="L758" s="304">
        <f t="shared" ca="1" si="319"/>
        <v>150.17843657879774</v>
      </c>
      <c r="M758" s="306">
        <f t="shared" ca="1" si="335"/>
        <v>-1.4994814161197314</v>
      </c>
      <c r="N758" s="304">
        <f t="shared" ca="1" si="336"/>
        <v>-85.913956601960578</v>
      </c>
      <c r="P758" s="310">
        <f t="shared" ca="1" si="337"/>
        <v>23</v>
      </c>
      <c r="Q758" s="304">
        <f t="shared" ca="1" si="338"/>
        <v>0</v>
      </c>
      <c r="R758" s="306">
        <f t="shared" ca="1" si="339"/>
        <v>0</v>
      </c>
      <c r="S758" s="307">
        <f t="shared" ca="1" si="340"/>
        <v>0.4270000000000001</v>
      </c>
      <c r="T758" s="304">
        <f t="shared" ca="1" si="320"/>
        <v>4.1888700000000014</v>
      </c>
      <c r="U758" s="311">
        <f t="shared" ca="1" si="321"/>
        <v>0</v>
      </c>
      <c r="V758" s="306">
        <f t="shared" ca="1" si="322"/>
        <v>1.2256101053674342</v>
      </c>
      <c r="W758" s="304">
        <f t="shared" ca="1" si="323"/>
        <v>3.552236815758433</v>
      </c>
      <c r="Y758" s="314" t="str">
        <f t="shared" ca="1" si="341"/>
        <v/>
      </c>
      <c r="Z758" s="315" t="str">
        <f t="shared" ca="1" si="342"/>
        <v/>
      </c>
      <c r="AA758" s="316" t="str">
        <f t="shared" ca="1" si="343"/>
        <v/>
      </c>
      <c r="AC758" s="310" t="e">
        <f t="shared" ca="1" si="344"/>
        <v>#N/A</v>
      </c>
      <c r="AD758" s="323" t="e">
        <f t="shared" ca="1" si="345"/>
        <v>#N/A</v>
      </c>
      <c r="AE758" s="324" t="e">
        <f t="shared" ca="1" si="324"/>
        <v>#N/A</v>
      </c>
      <c r="AG758" s="306">
        <f t="shared" ca="1" si="346"/>
        <v>1.4660588756973798</v>
      </c>
      <c r="AH758" s="304">
        <f t="shared" ca="1" si="347"/>
        <v>-8.3190048317199654</v>
      </c>
    </row>
    <row r="759" spans="1:34" x14ac:dyDescent="0.3">
      <c r="A759" s="347">
        <f t="shared" ca="1" si="325"/>
        <v>1E-4</v>
      </c>
      <c r="B759" s="304">
        <f t="shared" ca="1" si="326"/>
        <v>16.141399999999866</v>
      </c>
      <c r="D759" s="306">
        <f t="shared" ca="1" si="327"/>
        <v>-0.59276996796739079</v>
      </c>
      <c r="E759" s="307">
        <f t="shared" ca="1" si="328"/>
        <v>-1.5120898567081102</v>
      </c>
      <c r="F759" s="304">
        <f t="shared" ca="1" si="329"/>
        <v>1.6241280644344569</v>
      </c>
      <c r="G759" s="306">
        <f t="shared" ca="1" si="330"/>
        <v>3.7297527894571396</v>
      </c>
      <c r="H759" s="307">
        <f t="shared" ca="1" si="331"/>
        <v>-52.212049670925282</v>
      </c>
      <c r="I759" s="304">
        <f t="shared" ca="1" si="332"/>
        <v>52.345097064669126</v>
      </c>
      <c r="J759" s="306">
        <f t="shared" ca="1" si="333"/>
        <v>150.09587023194715</v>
      </c>
      <c r="K759" s="307">
        <f t="shared" ca="1" si="334"/>
        <v>-4.9844332401354947</v>
      </c>
      <c r="L759" s="304">
        <f t="shared" ca="1" si="319"/>
        <v>150.17860977985808</v>
      </c>
      <c r="M759" s="306">
        <f t="shared" ca="1" si="335"/>
        <v>-1.4994827515006135</v>
      </c>
      <c r="N759" s="304">
        <f t="shared" ca="1" si="336"/>
        <v>-85.914033113649168</v>
      </c>
      <c r="P759" s="310">
        <f t="shared" ca="1" si="337"/>
        <v>23</v>
      </c>
      <c r="Q759" s="304">
        <f t="shared" ca="1" si="338"/>
        <v>0</v>
      </c>
      <c r="R759" s="306">
        <f t="shared" ca="1" si="339"/>
        <v>0</v>
      </c>
      <c r="S759" s="307">
        <f t="shared" ca="1" si="340"/>
        <v>0.4270000000000001</v>
      </c>
      <c r="T759" s="304">
        <f t="shared" ca="1" si="320"/>
        <v>4.1888700000000014</v>
      </c>
      <c r="U759" s="311">
        <f t="shared" ca="1" si="321"/>
        <v>0</v>
      </c>
      <c r="V759" s="306">
        <f t="shared" ca="1" si="322"/>
        <v>1.2256107452828713</v>
      </c>
      <c r="W759" s="304">
        <f t="shared" ca="1" si="323"/>
        <v>3.5522585677765335</v>
      </c>
      <c r="Y759" s="314" t="str">
        <f t="shared" ca="1" si="341"/>
        <v/>
      </c>
      <c r="Z759" s="315" t="str">
        <f t="shared" ca="1" si="342"/>
        <v/>
      </c>
      <c r="AA759" s="316" t="str">
        <f t="shared" ca="1" si="343"/>
        <v/>
      </c>
      <c r="AC759" s="310" t="e">
        <f t="shared" ca="1" si="344"/>
        <v>#N/A</v>
      </c>
      <c r="AD759" s="323" t="e">
        <f t="shared" ca="1" si="345"/>
        <v>#N/A</v>
      </c>
      <c r="AE759" s="324" t="e">
        <f t="shared" ca="1" si="324"/>
        <v>#N/A</v>
      </c>
      <c r="AG759" s="306">
        <f t="shared" ca="1" si="346"/>
        <v>1.4660088662760309</v>
      </c>
      <c r="AH759" s="304">
        <f t="shared" ca="1" si="347"/>
        <v>-8.319055774609911</v>
      </c>
    </row>
    <row r="760" spans="1:34" x14ac:dyDescent="0.3">
      <c r="A760" s="347">
        <f t="shared" ca="1" si="325"/>
        <v>1E-4</v>
      </c>
      <c r="B760" s="304">
        <f t="shared" ca="1" si="326"/>
        <v>16.141499999999866</v>
      </c>
      <c r="D760" s="306">
        <f t="shared" ca="1" si="327"/>
        <v>-0.59276251683797954</v>
      </c>
      <c r="E760" s="307">
        <f t="shared" ca="1" si="328"/>
        <v>-1.5120382531272512</v>
      </c>
      <c r="F760" s="304">
        <f t="shared" ca="1" si="329"/>
        <v>1.6240773012046579</v>
      </c>
      <c r="G760" s="306">
        <f t="shared" ca="1" si="330"/>
        <v>3.7296935132054556</v>
      </c>
      <c r="H760" s="307">
        <f t="shared" ca="1" si="331"/>
        <v>-52.212200874750593</v>
      </c>
      <c r="I760" s="304">
        <f t="shared" ca="1" si="332"/>
        <v>52.345243660601611</v>
      </c>
      <c r="J760" s="306">
        <f t="shared" ca="1" si="333"/>
        <v>150.09587023194715</v>
      </c>
      <c r="K760" s="307">
        <f t="shared" ca="1" si="334"/>
        <v>-4.9896544526627782</v>
      </c>
      <c r="L760" s="304">
        <f t="shared" ca="1" si="319"/>
        <v>150.17878316274405</v>
      </c>
      <c r="M760" s="306">
        <f t="shared" ca="1" si="335"/>
        <v>-1.499484086852793</v>
      </c>
      <c r="N760" s="304">
        <f t="shared" ca="1" si="336"/>
        <v>-85.914109623693207</v>
      </c>
      <c r="P760" s="310">
        <f t="shared" ca="1" si="337"/>
        <v>23</v>
      </c>
      <c r="Q760" s="304">
        <f t="shared" ca="1" si="338"/>
        <v>0</v>
      </c>
      <c r="R760" s="306">
        <f t="shared" ca="1" si="339"/>
        <v>0</v>
      </c>
      <c r="S760" s="307">
        <f t="shared" ca="1" si="340"/>
        <v>0.4270000000000001</v>
      </c>
      <c r="T760" s="304">
        <f t="shared" ca="1" si="320"/>
        <v>4.1888700000000014</v>
      </c>
      <c r="U760" s="311">
        <f t="shared" ca="1" si="321"/>
        <v>0</v>
      </c>
      <c r="V760" s="306">
        <f t="shared" ca="1" si="322"/>
        <v>1.2256113852004957</v>
      </c>
      <c r="W760" s="304">
        <f t="shared" ca="1" si="323"/>
        <v>3.5522803191987418</v>
      </c>
      <c r="Y760" s="314" t="str">
        <f t="shared" ca="1" si="341"/>
        <v/>
      </c>
      <c r="Z760" s="315" t="str">
        <f t="shared" ca="1" si="342"/>
        <v/>
      </c>
      <c r="AA760" s="316" t="str">
        <f t="shared" ca="1" si="343"/>
        <v/>
      </c>
      <c r="AC760" s="310" t="e">
        <f t="shared" ca="1" si="344"/>
        <v>#N/A</v>
      </c>
      <c r="AD760" s="323" t="e">
        <f t="shared" ca="1" si="345"/>
        <v>#N/A</v>
      </c>
      <c r="AE760" s="324" t="e">
        <f t="shared" ca="1" si="324"/>
        <v>#N/A</v>
      </c>
      <c r="AG760" s="306">
        <f t="shared" ca="1" si="346"/>
        <v>1.4659588582127352</v>
      </c>
      <c r="AH760" s="304">
        <f t="shared" ca="1" si="347"/>
        <v>-8.319106716104292</v>
      </c>
    </row>
    <row r="761" spans="1:34" x14ac:dyDescent="0.3">
      <c r="A761" s="347">
        <f t="shared" ca="1" si="325"/>
        <v>1E-4</v>
      </c>
      <c r="B761" s="304">
        <f t="shared" ca="1" si="326"/>
        <v>16.141599999999865</v>
      </c>
      <c r="D761" s="306">
        <f t="shared" ca="1" si="327"/>
        <v>-0.59275506571054482</v>
      </c>
      <c r="E761" s="307">
        <f t="shared" ca="1" si="328"/>
        <v>-1.5119866509604964</v>
      </c>
      <c r="F761" s="304">
        <f t="shared" ca="1" si="329"/>
        <v>1.6240265393792832</v>
      </c>
      <c r="G761" s="306">
        <f t="shared" ca="1" si="330"/>
        <v>3.7296342376988845</v>
      </c>
      <c r="H761" s="307">
        <f t="shared" ca="1" si="331"/>
        <v>-52.212352073415687</v>
      </c>
      <c r="I761" s="304">
        <f t="shared" ca="1" si="332"/>
        <v>52.345390251533431</v>
      </c>
      <c r="J761" s="306">
        <f t="shared" ca="1" si="333"/>
        <v>150.09587023194715</v>
      </c>
      <c r="K761" s="307">
        <f t="shared" ca="1" si="334"/>
        <v>-4.9948756803101864</v>
      </c>
      <c r="L761" s="304">
        <f t="shared" ca="1" si="319"/>
        <v>150.17895672745655</v>
      </c>
      <c r="M761" s="306">
        <f t="shared" ca="1" si="335"/>
        <v>-1.499485422176271</v>
      </c>
      <c r="N761" s="304">
        <f t="shared" ca="1" si="336"/>
        <v>-85.91418613209278</v>
      </c>
      <c r="P761" s="310">
        <f t="shared" ca="1" si="337"/>
        <v>23</v>
      </c>
      <c r="Q761" s="304">
        <f t="shared" ca="1" si="338"/>
        <v>0</v>
      </c>
      <c r="R761" s="306">
        <f t="shared" ca="1" si="339"/>
        <v>0</v>
      </c>
      <c r="S761" s="307">
        <f t="shared" ca="1" si="340"/>
        <v>0.4270000000000001</v>
      </c>
      <c r="T761" s="304">
        <f t="shared" ca="1" si="320"/>
        <v>4.1888700000000014</v>
      </c>
      <c r="U761" s="311">
        <f t="shared" ca="1" si="321"/>
        <v>0</v>
      </c>
      <c r="V761" s="306">
        <f t="shared" ca="1" si="322"/>
        <v>1.2256120251203075</v>
      </c>
      <c r="W761" s="304">
        <f t="shared" ca="1" si="323"/>
        <v>3.552302070025072</v>
      </c>
      <c r="Y761" s="314" t="str">
        <f t="shared" ca="1" si="341"/>
        <v/>
      </c>
      <c r="Z761" s="315" t="str">
        <f t="shared" ca="1" si="342"/>
        <v/>
      </c>
      <c r="AA761" s="316" t="str">
        <f t="shared" ca="1" si="343"/>
        <v/>
      </c>
      <c r="AC761" s="310" t="e">
        <f t="shared" ca="1" si="344"/>
        <v>#N/A</v>
      </c>
      <c r="AD761" s="323" t="e">
        <f t="shared" ca="1" si="345"/>
        <v>#N/A</v>
      </c>
      <c r="AE761" s="324" t="e">
        <f t="shared" ca="1" si="324"/>
        <v>#N/A</v>
      </c>
      <c r="AG761" s="306">
        <f t="shared" ca="1" si="346"/>
        <v>1.465908851507459</v>
      </c>
      <c r="AH761" s="304">
        <f t="shared" ca="1" si="347"/>
        <v>-8.3191576562031404</v>
      </c>
    </row>
    <row r="762" spans="1:34" x14ac:dyDescent="0.3">
      <c r="A762" s="347">
        <f t="shared" ca="1" si="325"/>
        <v>1E-4</v>
      </c>
      <c r="B762" s="304">
        <f t="shared" ca="1" si="326"/>
        <v>16.141699999999865</v>
      </c>
      <c r="D762" s="306">
        <f t="shared" ca="1" si="327"/>
        <v>-0.59274761458508962</v>
      </c>
      <c r="E762" s="307">
        <f t="shared" ca="1" si="328"/>
        <v>-1.5119350502078071</v>
      </c>
      <c r="F762" s="304">
        <f t="shared" ca="1" si="329"/>
        <v>1.623975778958294</v>
      </c>
      <c r="G762" s="306">
        <f t="shared" ca="1" si="330"/>
        <v>3.7295749629374257</v>
      </c>
      <c r="H762" s="307">
        <f t="shared" ca="1" si="331"/>
        <v>-52.212503266920706</v>
      </c>
      <c r="I762" s="304">
        <f t="shared" ca="1" si="332"/>
        <v>52.345536837464714</v>
      </c>
      <c r="J762" s="306">
        <f t="shared" ca="1" si="333"/>
        <v>150.09587023194715</v>
      </c>
      <c r="K762" s="307">
        <f t="shared" ca="1" si="334"/>
        <v>-5.0000969230772032</v>
      </c>
      <c r="L762" s="304">
        <f t="shared" ca="1" si="319"/>
        <v>150.17913047399657</v>
      </c>
      <c r="M762" s="306">
        <f t="shared" ca="1" si="335"/>
        <v>-1.499486757471048</v>
      </c>
      <c r="N762" s="304">
        <f t="shared" ca="1" si="336"/>
        <v>-85.914262638847916</v>
      </c>
      <c r="P762" s="310">
        <f t="shared" ca="1" si="337"/>
        <v>23</v>
      </c>
      <c r="Q762" s="304">
        <f t="shared" ca="1" si="338"/>
        <v>0</v>
      </c>
      <c r="R762" s="306">
        <f t="shared" ca="1" si="339"/>
        <v>0</v>
      </c>
      <c r="S762" s="307">
        <f t="shared" ca="1" si="340"/>
        <v>0.4270000000000001</v>
      </c>
      <c r="T762" s="304">
        <f t="shared" ca="1" si="320"/>
        <v>4.1888700000000014</v>
      </c>
      <c r="U762" s="311">
        <f t="shared" ca="1" si="321"/>
        <v>0</v>
      </c>
      <c r="V762" s="306">
        <f t="shared" ca="1" si="322"/>
        <v>1.2256126650423067</v>
      </c>
      <c r="W762" s="304">
        <f t="shared" ca="1" si="323"/>
        <v>3.5523238202555341</v>
      </c>
      <c r="Y762" s="314" t="str">
        <f t="shared" ca="1" si="341"/>
        <v/>
      </c>
      <c r="Z762" s="315" t="str">
        <f t="shared" ca="1" si="342"/>
        <v/>
      </c>
      <c r="AA762" s="316" t="str">
        <f t="shared" ca="1" si="343"/>
        <v/>
      </c>
      <c r="AC762" s="310" t="e">
        <f t="shared" ca="1" si="344"/>
        <v>#N/A</v>
      </c>
      <c r="AD762" s="323" t="e">
        <f t="shared" ca="1" si="345"/>
        <v>#N/A</v>
      </c>
      <c r="AE762" s="324" t="e">
        <f t="shared" ca="1" si="324"/>
        <v>#N/A</v>
      </c>
      <c r="AG762" s="306">
        <f t="shared" ca="1" si="346"/>
        <v>1.4658588461601703</v>
      </c>
      <c r="AH762" s="304">
        <f t="shared" ca="1" si="347"/>
        <v>-8.31920859490649</v>
      </c>
    </row>
    <row r="763" spans="1:34" x14ac:dyDescent="0.3">
      <c r="A763" s="347">
        <f t="shared" ca="1" si="325"/>
        <v>1E-4</v>
      </c>
      <c r="B763" s="304">
        <f t="shared" ca="1" si="326"/>
        <v>16.141799999999865</v>
      </c>
      <c r="D763" s="306">
        <f t="shared" ca="1" si="327"/>
        <v>-0.59274016346162217</v>
      </c>
      <c r="E763" s="307">
        <f t="shared" ca="1" si="328"/>
        <v>-1.5118834508691652</v>
      </c>
      <c r="F763" s="304">
        <f t="shared" ca="1" si="329"/>
        <v>1.6239250199416739</v>
      </c>
      <c r="G763" s="306">
        <f t="shared" ca="1" si="330"/>
        <v>3.7295156889210794</v>
      </c>
      <c r="H763" s="307">
        <f t="shared" ca="1" si="331"/>
        <v>-52.212654455265792</v>
      </c>
      <c r="I763" s="304">
        <f t="shared" ca="1" si="332"/>
        <v>52.345683418395595</v>
      </c>
      <c r="J763" s="306">
        <f t="shared" ca="1" si="333"/>
        <v>150.09587023194715</v>
      </c>
      <c r="K763" s="307">
        <f t="shared" ca="1" si="334"/>
        <v>-5.0053181809633127</v>
      </c>
      <c r="L763" s="304">
        <f t="shared" ca="1" si="319"/>
        <v>150.17930440236498</v>
      </c>
      <c r="M763" s="306">
        <f t="shared" ca="1" si="335"/>
        <v>-1.499488092737125</v>
      </c>
      <c r="N763" s="304">
        <f t="shared" ca="1" si="336"/>
        <v>-85.914339143958657</v>
      </c>
      <c r="P763" s="310">
        <f t="shared" ca="1" si="337"/>
        <v>23</v>
      </c>
      <c r="Q763" s="304">
        <f t="shared" ca="1" si="338"/>
        <v>0</v>
      </c>
      <c r="R763" s="306">
        <f t="shared" ca="1" si="339"/>
        <v>0</v>
      </c>
      <c r="S763" s="307">
        <f t="shared" ca="1" si="340"/>
        <v>0.4270000000000001</v>
      </c>
      <c r="T763" s="304">
        <f t="shared" ca="1" si="320"/>
        <v>4.1888700000000014</v>
      </c>
      <c r="U763" s="311">
        <f t="shared" ca="1" si="321"/>
        <v>0</v>
      </c>
      <c r="V763" s="306">
        <f t="shared" ca="1" si="322"/>
        <v>1.225613304966493</v>
      </c>
      <c r="W763" s="304">
        <f t="shared" ca="1" si="323"/>
        <v>3.5523455698901385</v>
      </c>
      <c r="Y763" s="314" t="str">
        <f t="shared" ca="1" si="341"/>
        <v/>
      </c>
      <c r="Z763" s="315" t="str">
        <f t="shared" ca="1" si="342"/>
        <v/>
      </c>
      <c r="AA763" s="316" t="str">
        <f t="shared" ca="1" si="343"/>
        <v/>
      </c>
      <c r="AC763" s="310" t="e">
        <f t="shared" ca="1" si="344"/>
        <v>#N/A</v>
      </c>
      <c r="AD763" s="323" t="e">
        <f t="shared" ca="1" si="345"/>
        <v>#N/A</v>
      </c>
      <c r="AE763" s="324" t="e">
        <f t="shared" ca="1" si="324"/>
        <v>#N/A</v>
      </c>
      <c r="AG763" s="306">
        <f t="shared" ca="1" si="346"/>
        <v>1.4658088421708495</v>
      </c>
      <c r="AH763" s="304">
        <f t="shared" ca="1" si="347"/>
        <v>-8.3192595322143639</v>
      </c>
    </row>
    <row r="764" spans="1:34" x14ac:dyDescent="0.3">
      <c r="A764" s="347">
        <f t="shared" ca="1" si="325"/>
        <v>1E-4</v>
      </c>
      <c r="B764" s="304">
        <f t="shared" ca="1" si="326"/>
        <v>16.141899999999865</v>
      </c>
      <c r="D764" s="306">
        <f t="shared" ca="1" si="327"/>
        <v>-0.59273271234014502</v>
      </c>
      <c r="E764" s="307">
        <f t="shared" ca="1" si="328"/>
        <v>-1.5118318529445407</v>
      </c>
      <c r="F764" s="304">
        <f t="shared" ca="1" si="329"/>
        <v>1.6238742623293925</v>
      </c>
      <c r="G764" s="306">
        <f t="shared" ca="1" si="330"/>
        <v>3.7294564156498455</v>
      </c>
      <c r="H764" s="307">
        <f t="shared" ca="1" si="331"/>
        <v>-52.212805638451087</v>
      </c>
      <c r="I764" s="304">
        <f t="shared" ca="1" si="332"/>
        <v>52.345829994326209</v>
      </c>
      <c r="J764" s="306">
        <f t="shared" ca="1" si="333"/>
        <v>150.09587023194715</v>
      </c>
      <c r="K764" s="307">
        <f t="shared" ca="1" si="334"/>
        <v>-5.0105394539679988</v>
      </c>
      <c r="L764" s="304">
        <f t="shared" ca="1" si="319"/>
        <v>150.17947851256272</v>
      </c>
      <c r="M764" s="306">
        <f t="shared" ca="1" si="335"/>
        <v>-1.4994894279745026</v>
      </c>
      <c r="N764" s="304">
        <f t="shared" ca="1" si="336"/>
        <v>-85.914415647425031</v>
      </c>
      <c r="P764" s="310">
        <f t="shared" ca="1" si="337"/>
        <v>23</v>
      </c>
      <c r="Q764" s="304">
        <f t="shared" ca="1" si="338"/>
        <v>0</v>
      </c>
      <c r="R764" s="306">
        <f t="shared" ca="1" si="339"/>
        <v>0</v>
      </c>
      <c r="S764" s="307">
        <f t="shared" ca="1" si="340"/>
        <v>0.4270000000000001</v>
      </c>
      <c r="T764" s="304">
        <f t="shared" ca="1" si="320"/>
        <v>4.1888700000000014</v>
      </c>
      <c r="U764" s="311">
        <f t="shared" ca="1" si="321"/>
        <v>0</v>
      </c>
      <c r="V764" s="306">
        <f t="shared" ca="1" si="322"/>
        <v>1.2256139448928665</v>
      </c>
      <c r="W764" s="304">
        <f t="shared" ca="1" si="323"/>
        <v>3.5523673189288978</v>
      </c>
      <c r="Y764" s="314" t="str">
        <f t="shared" ca="1" si="341"/>
        <v/>
      </c>
      <c r="Z764" s="315" t="str">
        <f t="shared" ca="1" si="342"/>
        <v/>
      </c>
      <c r="AA764" s="316" t="str">
        <f t="shared" ca="1" si="343"/>
        <v/>
      </c>
      <c r="AC764" s="310" t="e">
        <f t="shared" ca="1" si="344"/>
        <v>#N/A</v>
      </c>
      <c r="AD764" s="323" t="e">
        <f t="shared" ca="1" si="345"/>
        <v>#N/A</v>
      </c>
      <c r="AE764" s="324" t="e">
        <f t="shared" ca="1" si="324"/>
        <v>#N/A</v>
      </c>
      <c r="AG764" s="306">
        <f t="shared" ca="1" si="346"/>
        <v>1.4657588395394736</v>
      </c>
      <c r="AH764" s="304">
        <f t="shared" ca="1" si="347"/>
        <v>-8.3193104681267869</v>
      </c>
    </row>
    <row r="765" spans="1:34" x14ac:dyDescent="0.3">
      <c r="A765" s="347">
        <f t="shared" ca="1" si="325"/>
        <v>1E-4</v>
      </c>
      <c r="B765" s="304">
        <f t="shared" ca="1" si="326"/>
        <v>16.141999999999864</v>
      </c>
      <c r="D765" s="306">
        <f t="shared" ca="1" si="327"/>
        <v>-0.59272526122066638</v>
      </c>
      <c r="E765" s="307">
        <f t="shared" ca="1" si="328"/>
        <v>-1.5117802564339087</v>
      </c>
      <c r="F765" s="304">
        <f t="shared" ca="1" si="329"/>
        <v>1.6238235061214263</v>
      </c>
      <c r="G765" s="306">
        <f t="shared" ca="1" si="330"/>
        <v>3.7293971431237236</v>
      </c>
      <c r="H765" s="307">
        <f t="shared" ca="1" si="331"/>
        <v>-52.212956816476733</v>
      </c>
      <c r="I765" s="304">
        <f t="shared" ca="1" si="332"/>
        <v>52.345976565256699</v>
      </c>
      <c r="J765" s="306">
        <f t="shared" ca="1" si="333"/>
        <v>150.09587023194715</v>
      </c>
      <c r="K765" s="307">
        <f t="shared" ca="1" si="334"/>
        <v>-5.0157607420907455</v>
      </c>
      <c r="L765" s="304">
        <f t="shared" ca="1" si="319"/>
        <v>150.17965280459072</v>
      </c>
      <c r="M765" s="306">
        <f t="shared" ca="1" si="335"/>
        <v>-1.499490763183182</v>
      </c>
      <c r="N765" s="304">
        <f t="shared" ca="1" si="336"/>
        <v>-85.914492149247138</v>
      </c>
      <c r="P765" s="310">
        <f t="shared" ca="1" si="337"/>
        <v>23</v>
      </c>
      <c r="Q765" s="304">
        <f t="shared" ca="1" si="338"/>
        <v>0</v>
      </c>
      <c r="R765" s="306">
        <f t="shared" ca="1" si="339"/>
        <v>0</v>
      </c>
      <c r="S765" s="307">
        <f t="shared" ca="1" si="340"/>
        <v>0.4270000000000001</v>
      </c>
      <c r="T765" s="304">
        <f t="shared" ca="1" si="320"/>
        <v>4.1888700000000014</v>
      </c>
      <c r="U765" s="311">
        <f t="shared" ca="1" si="321"/>
        <v>0</v>
      </c>
      <c r="V765" s="306">
        <f t="shared" ca="1" si="322"/>
        <v>1.2256145848214273</v>
      </c>
      <c r="W765" s="304">
        <f t="shared" ca="1" si="323"/>
        <v>3.5523890673718252</v>
      </c>
      <c r="Y765" s="314" t="str">
        <f t="shared" ca="1" si="341"/>
        <v/>
      </c>
      <c r="Z765" s="315" t="str">
        <f t="shared" ca="1" si="342"/>
        <v/>
      </c>
      <c r="AA765" s="316" t="str">
        <f t="shared" ca="1" si="343"/>
        <v/>
      </c>
      <c r="AC765" s="310" t="e">
        <f t="shared" ca="1" si="344"/>
        <v>#N/A</v>
      </c>
      <c r="AD765" s="323" t="e">
        <f t="shared" ca="1" si="345"/>
        <v>#N/A</v>
      </c>
      <c r="AE765" s="324" t="e">
        <f t="shared" ca="1" si="324"/>
        <v>#N/A</v>
      </c>
      <c r="AG765" s="306">
        <f t="shared" ca="1" si="346"/>
        <v>1.4657088382660159</v>
      </c>
      <c r="AH765" s="304">
        <f t="shared" ca="1" si="347"/>
        <v>-8.3193614026437874</v>
      </c>
    </row>
    <row r="766" spans="1:34" x14ac:dyDescent="0.3">
      <c r="A766" s="347">
        <f t="shared" ca="1" si="325"/>
        <v>1E-4</v>
      </c>
      <c r="B766" s="304">
        <f t="shared" ca="1" si="326"/>
        <v>16.142099999999864</v>
      </c>
      <c r="D766" s="306">
        <f t="shared" ca="1" si="327"/>
        <v>-0.59271781010318769</v>
      </c>
      <c r="E766" s="307">
        <f t="shared" ca="1" si="328"/>
        <v>-1.5117286613372336</v>
      </c>
      <c r="F766" s="304">
        <f t="shared" ca="1" si="329"/>
        <v>1.6237727513177398</v>
      </c>
      <c r="G766" s="306">
        <f t="shared" ca="1" si="330"/>
        <v>3.7293378713427132</v>
      </c>
      <c r="H766" s="307">
        <f t="shared" ca="1" si="331"/>
        <v>-52.213107989342866</v>
      </c>
      <c r="I766" s="304">
        <f t="shared" ca="1" si="332"/>
        <v>52.346123131187191</v>
      </c>
      <c r="J766" s="306">
        <f t="shared" ca="1" si="333"/>
        <v>150.09587023194715</v>
      </c>
      <c r="K766" s="307">
        <f t="shared" ca="1" si="334"/>
        <v>-5.0209820453310368</v>
      </c>
      <c r="L766" s="304">
        <f t="shared" ca="1" si="319"/>
        <v>150.17982727844992</v>
      </c>
      <c r="M766" s="306">
        <f t="shared" ca="1" si="335"/>
        <v>-1.4994920983631637</v>
      </c>
      <c r="N766" s="304">
        <f t="shared" ca="1" si="336"/>
        <v>-85.914568649424979</v>
      </c>
      <c r="P766" s="310">
        <f t="shared" ca="1" si="337"/>
        <v>23</v>
      </c>
      <c r="Q766" s="304">
        <f t="shared" ca="1" si="338"/>
        <v>0</v>
      </c>
      <c r="R766" s="306">
        <f t="shared" ca="1" si="339"/>
        <v>0</v>
      </c>
      <c r="S766" s="307">
        <f t="shared" ca="1" si="340"/>
        <v>0.4270000000000001</v>
      </c>
      <c r="T766" s="304">
        <f t="shared" ca="1" si="320"/>
        <v>4.1888700000000014</v>
      </c>
      <c r="U766" s="311">
        <f t="shared" ca="1" si="321"/>
        <v>0</v>
      </c>
      <c r="V766" s="306">
        <f t="shared" ca="1" si="322"/>
        <v>1.225615224752175</v>
      </c>
      <c r="W766" s="304">
        <f t="shared" ca="1" si="323"/>
        <v>3.5524108152189307</v>
      </c>
      <c r="Y766" s="314" t="str">
        <f t="shared" ca="1" si="341"/>
        <v/>
      </c>
      <c r="Z766" s="315" t="str">
        <f t="shared" ca="1" si="342"/>
        <v/>
      </c>
      <c r="AA766" s="316" t="str">
        <f t="shared" ca="1" si="343"/>
        <v/>
      </c>
      <c r="AC766" s="310" t="e">
        <f t="shared" ca="1" si="344"/>
        <v>#N/A</v>
      </c>
      <c r="AD766" s="323" t="e">
        <f t="shared" ca="1" si="345"/>
        <v>#N/A</v>
      </c>
      <c r="AE766" s="324" t="e">
        <f t="shared" ca="1" si="324"/>
        <v>#N/A</v>
      </c>
      <c r="AG766" s="306">
        <f t="shared" ca="1" si="346"/>
        <v>1.4656588383504445</v>
      </c>
      <c r="AH766" s="304">
        <f t="shared" ca="1" si="347"/>
        <v>-8.3194123357653975</v>
      </c>
    </row>
    <row r="767" spans="1:34" x14ac:dyDescent="0.3">
      <c r="A767" s="347">
        <f t="shared" ca="1" si="325"/>
        <v>1E-4</v>
      </c>
      <c r="B767" s="304">
        <f t="shared" ca="1" si="326"/>
        <v>16.142199999999864</v>
      </c>
      <c r="D767" s="306">
        <f t="shared" ca="1" si="327"/>
        <v>-0.59271035898771662</v>
      </c>
      <c r="E767" s="307">
        <f t="shared" ca="1" si="328"/>
        <v>-1.5116770676544959</v>
      </c>
      <c r="F767" s="304">
        <f t="shared" ca="1" si="329"/>
        <v>1.6237219979183146</v>
      </c>
      <c r="G767" s="306">
        <f t="shared" ca="1" si="330"/>
        <v>3.7292786003068144</v>
      </c>
      <c r="H767" s="307">
        <f t="shared" ca="1" si="331"/>
        <v>-52.213259157049634</v>
      </c>
      <c r="I767" s="304">
        <f t="shared" ca="1" si="332"/>
        <v>52.346269692117836</v>
      </c>
      <c r="J767" s="306">
        <f t="shared" ca="1" si="333"/>
        <v>150.09587023194715</v>
      </c>
      <c r="K767" s="307">
        <f t="shared" ca="1" si="334"/>
        <v>-5.0262033636883565</v>
      </c>
      <c r="L767" s="304">
        <f t="shared" ca="1" si="319"/>
        <v>150.18000193414125</v>
      </c>
      <c r="M767" s="306">
        <f t="shared" ca="1" si="335"/>
        <v>-1.4994934335144487</v>
      </c>
      <c r="N767" s="304">
        <f t="shared" ca="1" si="336"/>
        <v>-85.914645147958623</v>
      </c>
      <c r="P767" s="310">
        <f t="shared" ca="1" si="337"/>
        <v>23</v>
      </c>
      <c r="Q767" s="304">
        <f t="shared" ca="1" si="338"/>
        <v>0</v>
      </c>
      <c r="R767" s="306">
        <f t="shared" ca="1" si="339"/>
        <v>0</v>
      </c>
      <c r="S767" s="307">
        <f t="shared" ca="1" si="340"/>
        <v>0.4270000000000001</v>
      </c>
      <c r="T767" s="304">
        <f t="shared" ca="1" si="320"/>
        <v>4.1888700000000014</v>
      </c>
      <c r="U767" s="311">
        <f t="shared" ca="1" si="321"/>
        <v>0</v>
      </c>
      <c r="V767" s="306">
        <f t="shared" ca="1" si="322"/>
        <v>1.2256158646851096</v>
      </c>
      <c r="W767" s="304">
        <f t="shared" ca="1" si="323"/>
        <v>3.5524325624702273</v>
      </c>
      <c r="Y767" s="314" t="str">
        <f t="shared" ca="1" si="341"/>
        <v/>
      </c>
      <c r="Z767" s="315" t="str">
        <f t="shared" ca="1" si="342"/>
        <v/>
      </c>
      <c r="AA767" s="316" t="str">
        <f t="shared" ca="1" si="343"/>
        <v/>
      </c>
      <c r="AC767" s="310" t="e">
        <f t="shared" ca="1" si="344"/>
        <v>#N/A</v>
      </c>
      <c r="AD767" s="323" t="e">
        <f t="shared" ca="1" si="345"/>
        <v>#N/A</v>
      </c>
      <c r="AE767" s="324" t="e">
        <f t="shared" ca="1" si="324"/>
        <v>#N/A</v>
      </c>
      <c r="AG767" s="306">
        <f t="shared" ca="1" si="346"/>
        <v>1.4656088397927416</v>
      </c>
      <c r="AH767" s="304">
        <f t="shared" ca="1" si="347"/>
        <v>-8.3194632674916384</v>
      </c>
    </row>
    <row r="768" spans="1:34" x14ac:dyDescent="0.3">
      <c r="A768" s="347">
        <f t="shared" ca="1" si="325"/>
        <v>1E-4</v>
      </c>
      <c r="B768" s="304">
        <f t="shared" ca="1" si="326"/>
        <v>16.142299999999864</v>
      </c>
      <c r="D768" s="306">
        <f t="shared" ca="1" si="327"/>
        <v>-0.5927029078742565</v>
      </c>
      <c r="E768" s="307">
        <f t="shared" ca="1" si="328"/>
        <v>-1.5116254753856584</v>
      </c>
      <c r="F768" s="304">
        <f t="shared" ca="1" si="329"/>
        <v>1.623671245923114</v>
      </c>
      <c r="G768" s="306">
        <f t="shared" ca="1" si="330"/>
        <v>3.729219330016027</v>
      </c>
      <c r="H768" s="307">
        <f t="shared" ca="1" si="331"/>
        <v>-52.213410319597173</v>
      </c>
      <c r="I768" s="304">
        <f t="shared" ca="1" si="332"/>
        <v>52.346416248048747</v>
      </c>
      <c r="J768" s="306">
        <f t="shared" ca="1" si="333"/>
        <v>150.09587023194715</v>
      </c>
      <c r="K768" s="307">
        <f t="shared" ca="1" si="334"/>
        <v>-5.0314246971621888</v>
      </c>
      <c r="L768" s="304">
        <f t="shared" ca="1" si="319"/>
        <v>150.1801767716656</v>
      </c>
      <c r="M768" s="306">
        <f t="shared" ca="1" si="335"/>
        <v>-1.4994947686370377</v>
      </c>
      <c r="N768" s="304">
        <f t="shared" ca="1" si="336"/>
        <v>-85.9147216448481</v>
      </c>
      <c r="P768" s="310">
        <f t="shared" ca="1" si="337"/>
        <v>23</v>
      </c>
      <c r="Q768" s="304">
        <f t="shared" ca="1" si="338"/>
        <v>0</v>
      </c>
      <c r="R768" s="306">
        <f t="shared" ca="1" si="339"/>
        <v>0</v>
      </c>
      <c r="S768" s="307">
        <f t="shared" ca="1" si="340"/>
        <v>0.4270000000000001</v>
      </c>
      <c r="T768" s="304">
        <f t="shared" ca="1" si="320"/>
        <v>4.1888700000000014</v>
      </c>
      <c r="U768" s="311">
        <f t="shared" ca="1" si="321"/>
        <v>0</v>
      </c>
      <c r="V768" s="306">
        <f t="shared" ca="1" si="322"/>
        <v>1.2256165046202308</v>
      </c>
      <c r="W768" s="304">
        <f t="shared" ca="1" si="323"/>
        <v>3.5524543091257232</v>
      </c>
      <c r="Y768" s="314" t="str">
        <f t="shared" ca="1" si="341"/>
        <v/>
      </c>
      <c r="Z768" s="315" t="str">
        <f t="shared" ca="1" si="342"/>
        <v/>
      </c>
      <c r="AA768" s="316" t="str">
        <f t="shared" ca="1" si="343"/>
        <v/>
      </c>
      <c r="AC768" s="310" t="e">
        <f t="shared" ca="1" si="344"/>
        <v>#N/A</v>
      </c>
      <c r="AD768" s="323" t="e">
        <f t="shared" ca="1" si="345"/>
        <v>#N/A</v>
      </c>
      <c r="AE768" s="324" t="e">
        <f t="shared" ca="1" si="324"/>
        <v>#N/A</v>
      </c>
      <c r="AG768" s="306">
        <f t="shared" ca="1" si="346"/>
        <v>1.4655588425928752</v>
      </c>
      <c r="AH768" s="304">
        <f t="shared" ca="1" si="347"/>
        <v>-8.319514197822544</v>
      </c>
    </row>
    <row r="769" spans="1:34" x14ac:dyDescent="0.3">
      <c r="A769" s="347">
        <f t="shared" ca="1" si="325"/>
        <v>1E-4</v>
      </c>
      <c r="B769" s="304">
        <f t="shared" ca="1" si="326"/>
        <v>16.142399999999864</v>
      </c>
      <c r="D769" s="306">
        <f t="shared" ca="1" si="327"/>
        <v>-0.59269545676281488</v>
      </c>
      <c r="E769" s="307">
        <f t="shared" ca="1" si="328"/>
        <v>-1.5115738845307085</v>
      </c>
      <c r="F769" s="304">
        <f t="shared" ca="1" si="329"/>
        <v>1.6236204953321258</v>
      </c>
      <c r="G769" s="306">
        <f t="shared" ca="1" si="330"/>
        <v>3.7291600604703508</v>
      </c>
      <c r="H769" s="307">
        <f t="shared" ca="1" si="331"/>
        <v>-52.213561476985625</v>
      </c>
      <c r="I769" s="304">
        <f t="shared" ca="1" si="332"/>
        <v>52.346562798980074</v>
      </c>
      <c r="J769" s="306">
        <f t="shared" ca="1" si="333"/>
        <v>150.09587023194715</v>
      </c>
      <c r="K769" s="307">
        <f t="shared" ca="1" si="334"/>
        <v>-5.0366460457520175</v>
      </c>
      <c r="L769" s="304">
        <f t="shared" ca="1" si="319"/>
        <v>150.18035179102392</v>
      </c>
      <c r="M769" s="306">
        <f t="shared" ca="1" si="335"/>
        <v>-1.4994961037309316</v>
      </c>
      <c r="N769" s="304">
        <f t="shared" ca="1" si="336"/>
        <v>-85.914798140093481</v>
      </c>
      <c r="P769" s="310">
        <f t="shared" ca="1" si="337"/>
        <v>23</v>
      </c>
      <c r="Q769" s="304">
        <f t="shared" ca="1" si="338"/>
        <v>0</v>
      </c>
      <c r="R769" s="306">
        <f t="shared" ca="1" si="339"/>
        <v>0</v>
      </c>
      <c r="S769" s="307">
        <f t="shared" ca="1" si="340"/>
        <v>0.4270000000000001</v>
      </c>
      <c r="T769" s="304">
        <f t="shared" ca="1" si="320"/>
        <v>4.1888700000000014</v>
      </c>
      <c r="U769" s="311">
        <f t="shared" ca="1" si="321"/>
        <v>0</v>
      </c>
      <c r="V769" s="306">
        <f t="shared" ca="1" si="322"/>
        <v>1.2256171445575395</v>
      </c>
      <c r="W769" s="304">
        <f t="shared" ca="1" si="323"/>
        <v>3.5524760551854344</v>
      </c>
      <c r="Y769" s="314" t="str">
        <f t="shared" ca="1" si="341"/>
        <v/>
      </c>
      <c r="Z769" s="315" t="str">
        <f t="shared" ca="1" si="342"/>
        <v/>
      </c>
      <c r="AA769" s="316" t="str">
        <f t="shared" ca="1" si="343"/>
        <v/>
      </c>
      <c r="AC769" s="310" t="e">
        <f t="shared" ca="1" si="344"/>
        <v>#N/A</v>
      </c>
      <c r="AD769" s="323" t="e">
        <f t="shared" ca="1" si="345"/>
        <v>#N/A</v>
      </c>
      <c r="AE769" s="324" t="e">
        <f t="shared" ca="1" si="324"/>
        <v>#N/A</v>
      </c>
      <c r="AG769" s="306">
        <f t="shared" ca="1" si="346"/>
        <v>1.4655088467508275</v>
      </c>
      <c r="AH769" s="304">
        <f t="shared" ca="1" si="347"/>
        <v>-8.3195651267581319</v>
      </c>
    </row>
    <row r="770" spans="1:34" x14ac:dyDescent="0.3">
      <c r="A770" s="347">
        <f t="shared" ca="1" si="325"/>
        <v>1E-4</v>
      </c>
      <c r="B770" s="304">
        <f t="shared" ca="1" si="326"/>
        <v>16.142499999999863</v>
      </c>
      <c r="D770" s="306">
        <f t="shared" ca="1" si="327"/>
        <v>-0.59268800565339519</v>
      </c>
      <c r="E770" s="307">
        <f t="shared" ca="1" si="328"/>
        <v>-1.5115222950896037</v>
      </c>
      <c r="F770" s="304">
        <f t="shared" ca="1" si="329"/>
        <v>1.6235697461453085</v>
      </c>
      <c r="G770" s="306">
        <f t="shared" ca="1" si="330"/>
        <v>3.7291007916697856</v>
      </c>
      <c r="H770" s="307">
        <f t="shared" ca="1" si="331"/>
        <v>-52.213712629215131</v>
      </c>
      <c r="I770" s="304">
        <f t="shared" ca="1" si="332"/>
        <v>52.34670934491195</v>
      </c>
      <c r="J770" s="306">
        <f t="shared" ca="1" si="333"/>
        <v>150.09587023194715</v>
      </c>
      <c r="K770" s="307">
        <f t="shared" ca="1" si="334"/>
        <v>-5.0418674094573275</v>
      </c>
      <c r="L770" s="304">
        <f t="shared" ca="1" si="319"/>
        <v>150.18052699221715</v>
      </c>
      <c r="M770" s="306">
        <f t="shared" ca="1" si="335"/>
        <v>-1.4994974387961313</v>
      </c>
      <c r="N770" s="304">
        <f t="shared" ca="1" si="336"/>
        <v>-85.914874633694794</v>
      </c>
      <c r="P770" s="310">
        <f t="shared" ca="1" si="337"/>
        <v>23</v>
      </c>
      <c r="Q770" s="304">
        <f t="shared" ca="1" si="338"/>
        <v>0</v>
      </c>
      <c r="R770" s="306">
        <f t="shared" ca="1" si="339"/>
        <v>0</v>
      </c>
      <c r="S770" s="307">
        <f t="shared" ca="1" si="340"/>
        <v>0.4270000000000001</v>
      </c>
      <c r="T770" s="304">
        <f t="shared" ca="1" si="320"/>
        <v>4.1888700000000014</v>
      </c>
      <c r="U770" s="311">
        <f t="shared" ca="1" si="321"/>
        <v>0</v>
      </c>
      <c r="V770" s="306">
        <f t="shared" ca="1" si="322"/>
        <v>1.2256177844970348</v>
      </c>
      <c r="W770" s="304">
        <f t="shared" ca="1" si="323"/>
        <v>3.5524978006493702</v>
      </c>
      <c r="Y770" s="314" t="str">
        <f t="shared" ca="1" si="341"/>
        <v/>
      </c>
      <c r="Z770" s="315" t="str">
        <f t="shared" ca="1" si="342"/>
        <v/>
      </c>
      <c r="AA770" s="316" t="str">
        <f t="shared" ca="1" si="343"/>
        <v/>
      </c>
      <c r="AC770" s="310" t="e">
        <f t="shared" ca="1" si="344"/>
        <v>#N/A</v>
      </c>
      <c r="AD770" s="323" t="e">
        <f t="shared" ca="1" si="345"/>
        <v>#N/A</v>
      </c>
      <c r="AE770" s="324" t="e">
        <f t="shared" ca="1" si="324"/>
        <v>#N/A</v>
      </c>
      <c r="AG770" s="306">
        <f t="shared" ca="1" si="346"/>
        <v>1.465458852266563</v>
      </c>
      <c r="AH770" s="304">
        <f t="shared" ca="1" si="347"/>
        <v>-8.3196160542984394</v>
      </c>
    </row>
    <row r="771" spans="1:34" x14ac:dyDescent="0.3">
      <c r="A771" s="347">
        <f t="shared" ca="1" si="325"/>
        <v>1E-4</v>
      </c>
      <c r="B771" s="304">
        <f t="shared" ca="1" si="326"/>
        <v>16.142599999999863</v>
      </c>
      <c r="D771" s="306">
        <f t="shared" ca="1" si="327"/>
        <v>-0.59268055454600155</v>
      </c>
      <c r="E771" s="307">
        <f t="shared" ca="1" si="328"/>
        <v>-1.5114707070623226</v>
      </c>
      <c r="F771" s="304">
        <f t="shared" ca="1" si="329"/>
        <v>1.623518998362641</v>
      </c>
      <c r="G771" s="306">
        <f t="shared" ca="1" si="330"/>
        <v>3.7290415236143311</v>
      </c>
      <c r="H771" s="307">
        <f t="shared" ca="1" si="331"/>
        <v>-52.213863776285834</v>
      </c>
      <c r="I771" s="304">
        <f t="shared" ca="1" si="332"/>
        <v>52.346855885844512</v>
      </c>
      <c r="J771" s="306">
        <f t="shared" ca="1" si="333"/>
        <v>150.09587023194715</v>
      </c>
      <c r="K771" s="307">
        <f t="shared" ca="1" si="334"/>
        <v>-5.0470887882776028</v>
      </c>
      <c r="L771" s="304">
        <f t="shared" ca="1" si="319"/>
        <v>150.18070237524617</v>
      </c>
      <c r="M771" s="306">
        <f t="shared" ca="1" si="335"/>
        <v>-1.4994987738326375</v>
      </c>
      <c r="N771" s="304">
        <f t="shared" ca="1" si="336"/>
        <v>-85.914951125652095</v>
      </c>
      <c r="P771" s="310">
        <f t="shared" ca="1" si="337"/>
        <v>23</v>
      </c>
      <c r="Q771" s="304">
        <f t="shared" ca="1" si="338"/>
        <v>0</v>
      </c>
      <c r="R771" s="306">
        <f t="shared" ca="1" si="339"/>
        <v>0</v>
      </c>
      <c r="S771" s="307">
        <f t="shared" ca="1" si="340"/>
        <v>0.4270000000000001</v>
      </c>
      <c r="T771" s="304">
        <f t="shared" ca="1" si="320"/>
        <v>4.1888700000000014</v>
      </c>
      <c r="U771" s="311">
        <f t="shared" ca="1" si="321"/>
        <v>0</v>
      </c>
      <c r="V771" s="306">
        <f t="shared" ca="1" si="322"/>
        <v>1.2256184244387165</v>
      </c>
      <c r="W771" s="304">
        <f t="shared" ca="1" si="323"/>
        <v>3.552519545517542</v>
      </c>
      <c r="Y771" s="314" t="str">
        <f t="shared" ca="1" si="341"/>
        <v/>
      </c>
      <c r="Z771" s="315" t="str">
        <f t="shared" ca="1" si="342"/>
        <v/>
      </c>
      <c r="AA771" s="316" t="str">
        <f t="shared" ca="1" si="343"/>
        <v/>
      </c>
      <c r="AC771" s="310" t="e">
        <f t="shared" ca="1" si="344"/>
        <v>#N/A</v>
      </c>
      <c r="AD771" s="323" t="e">
        <f t="shared" ca="1" si="345"/>
        <v>#N/A</v>
      </c>
      <c r="AE771" s="324" t="e">
        <f t="shared" ca="1" si="324"/>
        <v>#N/A</v>
      </c>
      <c r="AG771" s="306">
        <f t="shared" ca="1" si="346"/>
        <v>1.4654088591400658</v>
      </c>
      <c r="AH771" s="304">
        <f t="shared" ca="1" si="347"/>
        <v>-8.319666980443488</v>
      </c>
    </row>
    <row r="772" spans="1:34" x14ac:dyDescent="0.3">
      <c r="A772" s="347">
        <f t="shared" ca="1" si="325"/>
        <v>1E-4</v>
      </c>
      <c r="B772" s="304">
        <f t="shared" ca="1" si="326"/>
        <v>16.142699999999863</v>
      </c>
      <c r="D772" s="306">
        <f t="shared" ca="1" si="327"/>
        <v>-0.5926731034406405</v>
      </c>
      <c r="E772" s="307">
        <f t="shared" ca="1" si="328"/>
        <v>-1.5114191204488403</v>
      </c>
      <c r="F772" s="304">
        <f t="shared" ca="1" si="329"/>
        <v>1.6234682519840991</v>
      </c>
      <c r="G772" s="306">
        <f t="shared" ca="1" si="330"/>
        <v>3.7289822563039872</v>
      </c>
      <c r="H772" s="307">
        <f t="shared" ca="1" si="331"/>
        <v>-52.214014918197876</v>
      </c>
      <c r="I772" s="304">
        <f t="shared" ca="1" si="332"/>
        <v>52.347002421777894</v>
      </c>
      <c r="J772" s="306">
        <f t="shared" ca="1" si="333"/>
        <v>150.09587023194715</v>
      </c>
      <c r="K772" s="307">
        <f t="shared" ca="1" si="334"/>
        <v>-5.0523101822123273</v>
      </c>
      <c r="L772" s="304">
        <f t="shared" ref="L772:L835" ca="1" si="348">SQRT(pos_x^2+pos_z^2)</f>
        <v>150.18087794011194</v>
      </c>
      <c r="M772" s="306">
        <f t="shared" ca="1" si="335"/>
        <v>-1.4995001088404509</v>
      </c>
      <c r="N772" s="304">
        <f t="shared" ca="1" si="336"/>
        <v>-85.915027615965428</v>
      </c>
      <c r="P772" s="310">
        <f t="shared" ca="1" si="337"/>
        <v>23</v>
      </c>
      <c r="Q772" s="304">
        <f t="shared" ca="1" si="338"/>
        <v>0</v>
      </c>
      <c r="R772" s="306">
        <f t="shared" ca="1" si="339"/>
        <v>0</v>
      </c>
      <c r="S772" s="307">
        <f t="shared" ca="1" si="340"/>
        <v>0.4270000000000001</v>
      </c>
      <c r="T772" s="304">
        <f t="shared" ref="T772:T835" ca="1" si="349">m*g</f>
        <v>4.1888700000000014</v>
      </c>
      <c r="U772" s="311">
        <f t="shared" ref="U772:U835" ca="1" si="350">IF(pos_xz&lt;L_rampe,Poids*COS(Beta),0)</f>
        <v>0</v>
      </c>
      <c r="V772" s="306">
        <f t="shared" ref="V772:V835" ca="1" si="351">Rho_moyen*(20000-Alt_rampe-pos_z)/(20000+Alt_rampe+pos_z)</f>
        <v>1.2256190643825851</v>
      </c>
      <c r="W772" s="304">
        <f t="shared" ref="W772:W835" ca="1" si="352">1/2*Rho*Sref*Cx*vit_xz^2</f>
        <v>3.5525412897899633</v>
      </c>
      <c r="Y772" s="314" t="str">
        <f t="shared" ca="1" si="341"/>
        <v/>
      </c>
      <c r="Z772" s="315" t="str">
        <f t="shared" ca="1" si="342"/>
        <v/>
      </c>
      <c r="AA772" s="316" t="str">
        <f t="shared" ca="1" si="343"/>
        <v/>
      </c>
      <c r="AC772" s="310" t="e">
        <f t="shared" ca="1" si="344"/>
        <v>#N/A</v>
      </c>
      <c r="AD772" s="323" t="e">
        <f t="shared" ca="1" si="345"/>
        <v>#N/A</v>
      </c>
      <c r="AE772" s="324" t="e">
        <f t="shared" ref="AE772:AE835" ca="1" si="353">IF(t&lt;T_para, pos_z, NA())</f>
        <v>#N/A</v>
      </c>
      <c r="AG772" s="306">
        <f t="shared" ca="1" si="346"/>
        <v>1.4653588673713038</v>
      </c>
      <c r="AH772" s="304">
        <f t="shared" ca="1" si="347"/>
        <v>-8.3197179051933041</v>
      </c>
    </row>
    <row r="773" spans="1:34" x14ac:dyDescent="0.3">
      <c r="A773" s="347">
        <f t="shared" ref="A773:A836" ca="1" si="354">IF(B772+0.01&lt;=T_ini+ROUNDUP(Temps_fin_propu,0), 0.01, IF(K772&gt;0, 0.1, 0.0001))</f>
        <v>1E-4</v>
      </c>
      <c r="B773" s="304">
        <f t="shared" ref="B773:B836" ca="1" si="355">B772+pas</f>
        <v>16.142799999999863</v>
      </c>
      <c r="D773" s="306">
        <f t="shared" ref="D773:D836" ca="1" si="356">IF(AND(L772&lt;L_rampe,Poussee&lt;Poids*SIN(M772)),0,(-W772+Poussee)/m*COS(M772)-U772/m*SIN(M772))</f>
        <v>-0.59266565233731883</v>
      </c>
      <c r="E773" s="307">
        <f t="shared" ref="E773:E836" ca="1" si="357">IF(AND(L772&lt;L_rampe,Poussee&lt;Poids*SIN(M772)),0,(-W772+Poussee)/m*SIN(M772)+U772/m*COS(M772)-Poids/m)</f>
        <v>-1.5113675352491214</v>
      </c>
      <c r="F773" s="304">
        <f t="shared" ref="F773:F836" ca="1" si="358">SQRT(acc_x^2+acc_z^2)</f>
        <v>1.623417507009649</v>
      </c>
      <c r="G773" s="306">
        <f t="shared" ref="G773:G836" ca="1" si="359">G772+acc_x*pas</f>
        <v>3.7289229897387535</v>
      </c>
      <c r="H773" s="307">
        <f t="shared" ref="H773:H836" ca="1" si="360">H772+acc_z*pas</f>
        <v>-52.214166054951399</v>
      </c>
      <c r="I773" s="304">
        <f t="shared" ref="I773:I836" ca="1" si="361">SQRT(vit_x^2+vit_z^2)</f>
        <v>52.347148952712224</v>
      </c>
      <c r="J773" s="306">
        <f t="shared" ref="J773:J836" ca="1" si="362">J772+0.5*(vit_x+G772)*pas*(K772&gt;=0)</f>
        <v>150.09587023194715</v>
      </c>
      <c r="K773" s="307">
        <f t="shared" ref="K773:K836" ca="1" si="363">K772+0.5*(vit_z+H772)*pas</f>
        <v>-5.0575315912609851</v>
      </c>
      <c r="L773" s="304">
        <f t="shared" ca="1" si="348"/>
        <v>150.18105368681537</v>
      </c>
      <c r="M773" s="306">
        <f t="shared" ref="M773:M836" ca="1" si="364">IF(AND(L772&gt;L_rampe,G773&gt;0),ATAN2(G773,H773),$M$4)</f>
        <v>-1.4995014438195726</v>
      </c>
      <c r="N773" s="304">
        <f t="shared" ref="N773:N836" ca="1" si="365">DEGREES(Beta)</f>
        <v>-85.915104104634835</v>
      </c>
      <c r="P773" s="310">
        <f t="shared" ref="P773:P836" ca="1" si="366">MATCH(t-pas/2-T_ini,CdP_t)</f>
        <v>23</v>
      </c>
      <c r="Q773" s="304">
        <f t="shared" ref="Q773:Q836" ca="1" si="367">(INDEX(CdP,2,i_P+1)-INDEX(CdP,2,i_P+0))/(INDEX(CdP,1,i_P+1)-INDEX(CdP,1,i_P+0))*(t-pas/2-T_ini-INDEX(CdP,1,i_P+0))+INDEX(CdP,2,i_P+0)</f>
        <v>0</v>
      </c>
      <c r="R773" s="306">
        <f t="shared" ref="R773:R836" ca="1" si="368">Poussee/(g*ISP)</f>
        <v>0</v>
      </c>
      <c r="S773" s="307">
        <f t="shared" ref="S773:S836" ca="1" si="369">S772-Débit*pas</f>
        <v>0.4270000000000001</v>
      </c>
      <c r="T773" s="304">
        <f t="shared" ca="1" si="349"/>
        <v>4.1888700000000014</v>
      </c>
      <c r="U773" s="311">
        <f t="shared" ca="1" si="350"/>
        <v>0</v>
      </c>
      <c r="V773" s="306">
        <f t="shared" ca="1" si="351"/>
        <v>1.2256197043286405</v>
      </c>
      <c r="W773" s="304">
        <f t="shared" ca="1" si="352"/>
        <v>3.5525630334666434</v>
      </c>
      <c r="Y773" s="314" t="str">
        <f t="shared" ref="Y773:Y836" ca="1" si="370">IF(AND(pos_z&lt;=0,K772&gt;0),"Impact balistique","") &amp; IF(AND(H774&lt;0,vit_z&gt;=0),"Apogée","") &amp; IF(AND(Poussee=0,Q772&gt;0),"Fin de propulsion","") &amp; IF(AND(L774&gt;L_rampe,pos_xz&lt;=L_rampe),"Sortie de rampe","")</f>
        <v/>
      </c>
      <c r="Z773" s="315" t="str">
        <f t="shared" ref="Z773:Z836" ca="1" si="371">IF(ABS(t-T_para)&lt;pas/2,"Para","")</f>
        <v/>
      </c>
      <c r="AA773" s="316" t="str">
        <f t="shared" ref="AA773:AA836" ca="1" si="372">IF(ABS(t-T_satellite)&lt;pas/2,"Satellite","")</f>
        <v/>
      </c>
      <c r="AC773" s="310" t="e">
        <f t="shared" ref="AC773:AC836" ca="1" si="373">IF(ABS(t-ROUND(t,0))&lt;0.001,t,NA())</f>
        <v>#N/A</v>
      </c>
      <c r="AD773" s="323" t="e">
        <f t="shared" ref="AD773:AD836" ca="1" si="374">IF(ABS(t-ROUND(t,0))&lt;0.001,pos_x,NA())</f>
        <v>#N/A</v>
      </c>
      <c r="AE773" s="324" t="e">
        <f t="shared" ca="1" si="353"/>
        <v>#N/A</v>
      </c>
      <c r="AG773" s="306">
        <f t="shared" ref="AG773:AG836" ca="1" si="375">IF(AND(L772&lt;L_rampe,Poussee&lt;Poids*SIN(M772)),0,(-W772+Poussee)/m-Poids*SIN(M772)/m)</f>
        <v>1.4653088769602522</v>
      </c>
      <c r="AH773" s="304">
        <f t="shared" ref="AH773:AH836" ca="1" si="376">IF(AND(L772&lt;L_rampe,Poussee&lt;Poids*SIN(M772)), g*SIN(M772), (-W772+Poussee)/m)</f>
        <v>-8.3197688285479217</v>
      </c>
    </row>
    <row r="774" spans="1:34" x14ac:dyDescent="0.3">
      <c r="A774" s="347">
        <f t="shared" ca="1" si="354"/>
        <v>1E-4</v>
      </c>
      <c r="B774" s="304">
        <f t="shared" ca="1" si="355"/>
        <v>16.142899999999862</v>
      </c>
      <c r="D774" s="306">
        <f t="shared" ca="1" si="356"/>
        <v>-0.59265820123603874</v>
      </c>
      <c r="E774" s="307">
        <f t="shared" ca="1" si="357"/>
        <v>-1.511315951463148</v>
      </c>
      <c r="F774" s="304">
        <f t="shared" ca="1" si="358"/>
        <v>1.6233667634392721</v>
      </c>
      <c r="G774" s="306">
        <f t="shared" ca="1" si="359"/>
        <v>3.72886372391863</v>
      </c>
      <c r="H774" s="307">
        <f t="shared" ca="1" si="360"/>
        <v>-52.214317186546545</v>
      </c>
      <c r="I774" s="304">
        <f t="shared" ca="1" si="361"/>
        <v>52.347295478647666</v>
      </c>
      <c r="J774" s="306">
        <f t="shared" ca="1" si="362"/>
        <v>150.09587023194715</v>
      </c>
      <c r="K774" s="307">
        <f t="shared" ca="1" si="363"/>
        <v>-5.06275301542306</v>
      </c>
      <c r="L774" s="304">
        <f t="shared" ca="1" si="348"/>
        <v>150.18122961535738</v>
      </c>
      <c r="M774" s="306">
        <f t="shared" ca="1" si="364"/>
        <v>-1.4995027787700033</v>
      </c>
      <c r="N774" s="304">
        <f t="shared" ca="1" si="365"/>
        <v>-85.915180591660373</v>
      </c>
      <c r="P774" s="310">
        <f t="shared" ca="1" si="366"/>
        <v>23</v>
      </c>
      <c r="Q774" s="304">
        <f t="shared" ca="1" si="367"/>
        <v>0</v>
      </c>
      <c r="R774" s="306">
        <f t="shared" ca="1" si="368"/>
        <v>0</v>
      </c>
      <c r="S774" s="307">
        <f t="shared" ca="1" si="369"/>
        <v>0.4270000000000001</v>
      </c>
      <c r="T774" s="304">
        <f t="shared" ca="1" si="349"/>
        <v>4.1888700000000014</v>
      </c>
      <c r="U774" s="311">
        <f t="shared" ca="1" si="350"/>
        <v>0</v>
      </c>
      <c r="V774" s="306">
        <f t="shared" ca="1" si="351"/>
        <v>1.2256203442768825</v>
      </c>
      <c r="W774" s="304">
        <f t="shared" ca="1" si="352"/>
        <v>3.5525847765475982</v>
      </c>
      <c r="Y774" s="314" t="str">
        <f t="shared" ca="1" si="370"/>
        <v/>
      </c>
      <c r="Z774" s="315" t="str">
        <f t="shared" ca="1" si="371"/>
        <v/>
      </c>
      <c r="AA774" s="316" t="str">
        <f t="shared" ca="1" si="372"/>
        <v/>
      </c>
      <c r="AC774" s="310" t="e">
        <f t="shared" ca="1" si="373"/>
        <v>#N/A</v>
      </c>
      <c r="AD774" s="323" t="e">
        <f t="shared" ca="1" si="374"/>
        <v>#N/A</v>
      </c>
      <c r="AE774" s="324" t="e">
        <f t="shared" ca="1" si="353"/>
        <v>#N/A</v>
      </c>
      <c r="AG774" s="306">
        <f t="shared" ca="1" si="375"/>
        <v>1.4652588879068897</v>
      </c>
      <c r="AH774" s="304">
        <f t="shared" ca="1" si="376"/>
        <v>-8.3198197505073601</v>
      </c>
    </row>
    <row r="775" spans="1:34" x14ac:dyDescent="0.3">
      <c r="A775" s="347">
        <f t="shared" ca="1" si="354"/>
        <v>1E-4</v>
      </c>
      <c r="B775" s="304">
        <f t="shared" ca="1" si="355"/>
        <v>16.142999999999862</v>
      </c>
      <c r="D775" s="306">
        <f t="shared" ca="1" si="356"/>
        <v>-0.59265075013680735</v>
      </c>
      <c r="E775" s="307">
        <f t="shared" ca="1" si="357"/>
        <v>-1.5112643690908794</v>
      </c>
      <c r="F775" s="304">
        <f t="shared" ca="1" si="358"/>
        <v>1.6233160212729296</v>
      </c>
      <c r="G775" s="306">
        <f t="shared" ca="1" si="359"/>
        <v>3.7288044588436162</v>
      </c>
      <c r="H775" s="307">
        <f t="shared" ca="1" si="360"/>
        <v>-52.214468312983456</v>
      </c>
      <c r="I775" s="304">
        <f t="shared" ca="1" si="361"/>
        <v>52.347441999584333</v>
      </c>
      <c r="J775" s="306">
        <f t="shared" ca="1" si="362"/>
        <v>150.09587023194715</v>
      </c>
      <c r="K775" s="307">
        <f t="shared" ca="1" si="363"/>
        <v>-5.0679744546980361</v>
      </c>
      <c r="L775" s="304">
        <f t="shared" ca="1" si="348"/>
        <v>150.18140572573887</v>
      </c>
      <c r="M775" s="306">
        <f t="shared" ca="1" si="364"/>
        <v>-1.4995041136917437</v>
      </c>
      <c r="N775" s="304">
        <f t="shared" ca="1" si="365"/>
        <v>-85.915257077042071</v>
      </c>
      <c r="P775" s="310">
        <f t="shared" ca="1" si="366"/>
        <v>23</v>
      </c>
      <c r="Q775" s="304">
        <f t="shared" ca="1" si="367"/>
        <v>0</v>
      </c>
      <c r="R775" s="306">
        <f t="shared" ca="1" si="368"/>
        <v>0</v>
      </c>
      <c r="S775" s="307">
        <f t="shared" ca="1" si="369"/>
        <v>0.4270000000000001</v>
      </c>
      <c r="T775" s="304">
        <f t="shared" ca="1" si="349"/>
        <v>4.1888700000000014</v>
      </c>
      <c r="U775" s="311">
        <f t="shared" ca="1" si="350"/>
        <v>0</v>
      </c>
      <c r="V775" s="306">
        <f t="shared" ca="1" si="351"/>
        <v>1.2256209842273107</v>
      </c>
      <c r="W775" s="304">
        <f t="shared" ca="1" si="352"/>
        <v>3.5526065190328362</v>
      </c>
      <c r="Y775" s="314" t="str">
        <f t="shared" ca="1" si="370"/>
        <v/>
      </c>
      <c r="Z775" s="315" t="str">
        <f t="shared" ca="1" si="371"/>
        <v/>
      </c>
      <c r="AA775" s="316" t="str">
        <f t="shared" ca="1" si="372"/>
        <v/>
      </c>
      <c r="AC775" s="310" t="e">
        <f t="shared" ca="1" si="373"/>
        <v>#N/A</v>
      </c>
      <c r="AD775" s="323" t="e">
        <f t="shared" ca="1" si="374"/>
        <v>#N/A</v>
      </c>
      <c r="AE775" s="324" t="e">
        <f t="shared" ca="1" si="353"/>
        <v>#N/A</v>
      </c>
      <c r="AG775" s="306">
        <f t="shared" ca="1" si="375"/>
        <v>1.4652089002111808</v>
      </c>
      <c r="AH775" s="304">
        <f t="shared" ca="1" si="376"/>
        <v>-8.3198706710716568</v>
      </c>
    </row>
    <row r="776" spans="1:34" x14ac:dyDescent="0.3">
      <c r="A776" s="347">
        <f t="shared" ca="1" si="354"/>
        <v>1E-4</v>
      </c>
      <c r="B776" s="304">
        <f t="shared" ca="1" si="355"/>
        <v>16.143099999999862</v>
      </c>
      <c r="D776" s="306">
        <f t="shared" ca="1" si="356"/>
        <v>-0.59264329903962898</v>
      </c>
      <c r="E776" s="307">
        <f t="shared" ca="1" si="357"/>
        <v>-1.5112127881322941</v>
      </c>
      <c r="F776" s="304">
        <f t="shared" ca="1" si="358"/>
        <v>1.6232652805106</v>
      </c>
      <c r="G776" s="306">
        <f t="shared" ca="1" si="359"/>
        <v>3.7287451945137122</v>
      </c>
      <c r="H776" s="307">
        <f t="shared" ca="1" si="360"/>
        <v>-52.214619434262268</v>
      </c>
      <c r="I776" s="304">
        <f t="shared" ca="1" si="361"/>
        <v>52.347588515522354</v>
      </c>
      <c r="J776" s="306">
        <f t="shared" ca="1" si="362"/>
        <v>150.09587023194715</v>
      </c>
      <c r="K776" s="307">
        <f t="shared" ca="1" si="363"/>
        <v>-5.0731959090853982</v>
      </c>
      <c r="L776" s="304">
        <f t="shared" ca="1" si="348"/>
        <v>150.18158201796078</v>
      </c>
      <c r="M776" s="306">
        <f t="shared" ca="1" si="364"/>
        <v>-1.499505448584795</v>
      </c>
      <c r="N776" s="304">
        <f t="shared" ca="1" si="365"/>
        <v>-85.915333560780013</v>
      </c>
      <c r="P776" s="310">
        <f t="shared" ca="1" si="366"/>
        <v>23</v>
      </c>
      <c r="Q776" s="304">
        <f t="shared" ca="1" si="367"/>
        <v>0</v>
      </c>
      <c r="R776" s="306">
        <f t="shared" ca="1" si="368"/>
        <v>0</v>
      </c>
      <c r="S776" s="307">
        <f t="shared" ca="1" si="369"/>
        <v>0.4270000000000001</v>
      </c>
      <c r="T776" s="304">
        <f t="shared" ca="1" si="349"/>
        <v>4.1888700000000014</v>
      </c>
      <c r="U776" s="311">
        <f t="shared" ca="1" si="350"/>
        <v>0</v>
      </c>
      <c r="V776" s="306">
        <f t="shared" ca="1" si="351"/>
        <v>1.2256216241799254</v>
      </c>
      <c r="W776" s="304">
        <f t="shared" ca="1" si="352"/>
        <v>3.5526282609223676</v>
      </c>
      <c r="Y776" s="314" t="str">
        <f t="shared" ca="1" si="370"/>
        <v/>
      </c>
      <c r="Z776" s="315" t="str">
        <f t="shared" ca="1" si="371"/>
        <v/>
      </c>
      <c r="AA776" s="316" t="str">
        <f t="shared" ca="1" si="372"/>
        <v/>
      </c>
      <c r="AC776" s="310" t="e">
        <f t="shared" ca="1" si="373"/>
        <v>#N/A</v>
      </c>
      <c r="AD776" s="323" t="e">
        <f t="shared" ca="1" si="374"/>
        <v>#N/A</v>
      </c>
      <c r="AE776" s="324" t="e">
        <f t="shared" ca="1" si="353"/>
        <v>#N/A</v>
      </c>
      <c r="AG776" s="306">
        <f t="shared" ca="1" si="375"/>
        <v>1.465158913873104</v>
      </c>
      <c r="AH776" s="304">
        <f t="shared" ca="1" si="376"/>
        <v>-8.319921590240833</v>
      </c>
    </row>
    <row r="777" spans="1:34" x14ac:dyDescent="0.3">
      <c r="A777" s="347">
        <f t="shared" ca="1" si="354"/>
        <v>1E-4</v>
      </c>
      <c r="B777" s="304">
        <f t="shared" ca="1" si="355"/>
        <v>16.143199999999862</v>
      </c>
      <c r="D777" s="306">
        <f t="shared" ca="1" si="356"/>
        <v>-0.59263584794450752</v>
      </c>
      <c r="E777" s="307">
        <f t="shared" ca="1" si="357"/>
        <v>-1.5111612085873727</v>
      </c>
      <c r="F777" s="304">
        <f t="shared" ca="1" si="358"/>
        <v>1.6232145411522638</v>
      </c>
      <c r="G777" s="306">
        <f t="shared" ca="1" si="359"/>
        <v>3.728685930928918</v>
      </c>
      <c r="H777" s="307">
        <f t="shared" ca="1" si="360"/>
        <v>-52.214770550383129</v>
      </c>
      <c r="I777" s="304">
        <f t="shared" ca="1" si="361"/>
        <v>52.347735026461891</v>
      </c>
      <c r="J777" s="306">
        <f t="shared" ca="1" si="362"/>
        <v>150.09587023194715</v>
      </c>
      <c r="K777" s="307">
        <f t="shared" ca="1" si="363"/>
        <v>-5.0784173785846303</v>
      </c>
      <c r="L777" s="304">
        <f t="shared" ca="1" si="348"/>
        <v>150.18175849202402</v>
      </c>
      <c r="M777" s="306">
        <f t="shared" ca="1" si="364"/>
        <v>-1.4995067834491576</v>
      </c>
      <c r="N777" s="304">
        <f t="shared" ca="1" si="365"/>
        <v>-85.915410042874214</v>
      </c>
      <c r="P777" s="310">
        <f t="shared" ca="1" si="366"/>
        <v>23</v>
      </c>
      <c r="Q777" s="304">
        <f t="shared" ca="1" si="367"/>
        <v>0</v>
      </c>
      <c r="R777" s="306">
        <f t="shared" ca="1" si="368"/>
        <v>0</v>
      </c>
      <c r="S777" s="307">
        <f t="shared" ca="1" si="369"/>
        <v>0.4270000000000001</v>
      </c>
      <c r="T777" s="304">
        <f t="shared" ca="1" si="349"/>
        <v>4.1888700000000014</v>
      </c>
      <c r="U777" s="311">
        <f t="shared" ca="1" si="350"/>
        <v>0</v>
      </c>
      <c r="V777" s="306">
        <f t="shared" ca="1" si="351"/>
        <v>1.2256222641347263</v>
      </c>
      <c r="W777" s="304">
        <f t="shared" ca="1" si="352"/>
        <v>3.552650002216208</v>
      </c>
      <c r="Y777" s="314" t="str">
        <f t="shared" ca="1" si="370"/>
        <v/>
      </c>
      <c r="Z777" s="315" t="str">
        <f t="shared" ca="1" si="371"/>
        <v/>
      </c>
      <c r="AA777" s="316" t="str">
        <f t="shared" ca="1" si="372"/>
        <v/>
      </c>
      <c r="AC777" s="310" t="e">
        <f t="shared" ca="1" si="373"/>
        <v>#N/A</v>
      </c>
      <c r="AD777" s="323" t="e">
        <f t="shared" ca="1" si="374"/>
        <v>#N/A</v>
      </c>
      <c r="AE777" s="324" t="e">
        <f t="shared" ca="1" si="353"/>
        <v>#N/A</v>
      </c>
      <c r="AG777" s="306">
        <f t="shared" ca="1" si="375"/>
        <v>1.4651089288926435</v>
      </c>
      <c r="AH777" s="304">
        <f t="shared" ca="1" si="376"/>
        <v>-8.3199725080149101</v>
      </c>
    </row>
    <row r="778" spans="1:34" x14ac:dyDescent="0.3">
      <c r="A778" s="347">
        <f t="shared" ca="1" si="354"/>
        <v>1E-4</v>
      </c>
      <c r="B778" s="304">
        <f t="shared" ca="1" si="355"/>
        <v>16.143299999999861</v>
      </c>
      <c r="D778" s="306">
        <f t="shared" ca="1" si="356"/>
        <v>-0.59262839685145052</v>
      </c>
      <c r="E778" s="307">
        <f t="shared" ca="1" si="357"/>
        <v>-1.5111096304560743</v>
      </c>
      <c r="F778" s="304">
        <f t="shared" ca="1" si="358"/>
        <v>1.6231638031978823</v>
      </c>
      <c r="G778" s="306">
        <f t="shared" ca="1" si="359"/>
        <v>3.728626668089233</v>
      </c>
      <c r="H778" s="307">
        <f t="shared" ca="1" si="360"/>
        <v>-52.214921661346175</v>
      </c>
      <c r="I778" s="304">
        <f t="shared" ca="1" si="361"/>
        <v>52.347881532403051</v>
      </c>
      <c r="J778" s="306">
        <f t="shared" ca="1" si="362"/>
        <v>150.09587023194715</v>
      </c>
      <c r="K778" s="307">
        <f t="shared" ca="1" si="363"/>
        <v>-5.0836388631952163</v>
      </c>
      <c r="L778" s="304">
        <f t="shared" ca="1" si="348"/>
        <v>150.18193514792952</v>
      </c>
      <c r="M778" s="306">
        <f t="shared" ca="1" si="364"/>
        <v>-1.4995081182848322</v>
      </c>
      <c r="N778" s="304">
        <f t="shared" ca="1" si="365"/>
        <v>-85.915486523324716</v>
      </c>
      <c r="P778" s="310">
        <f t="shared" ca="1" si="366"/>
        <v>23</v>
      </c>
      <c r="Q778" s="304">
        <f t="shared" ca="1" si="367"/>
        <v>0</v>
      </c>
      <c r="R778" s="306">
        <f t="shared" ca="1" si="368"/>
        <v>0</v>
      </c>
      <c r="S778" s="307">
        <f t="shared" ca="1" si="369"/>
        <v>0.4270000000000001</v>
      </c>
      <c r="T778" s="304">
        <f t="shared" ca="1" si="349"/>
        <v>4.1888700000000014</v>
      </c>
      <c r="U778" s="311">
        <f t="shared" ca="1" si="350"/>
        <v>0</v>
      </c>
      <c r="V778" s="306">
        <f t="shared" ca="1" si="351"/>
        <v>1.2256229040917139</v>
      </c>
      <c r="W778" s="304">
        <f t="shared" ca="1" si="352"/>
        <v>3.5526717429143657</v>
      </c>
      <c r="Y778" s="314" t="str">
        <f t="shared" ca="1" si="370"/>
        <v/>
      </c>
      <c r="Z778" s="315" t="str">
        <f t="shared" ca="1" si="371"/>
        <v/>
      </c>
      <c r="AA778" s="316" t="str">
        <f t="shared" ca="1" si="372"/>
        <v/>
      </c>
      <c r="AC778" s="310" t="e">
        <f t="shared" ca="1" si="373"/>
        <v>#N/A</v>
      </c>
      <c r="AD778" s="323" t="e">
        <f t="shared" ca="1" si="374"/>
        <v>#N/A</v>
      </c>
      <c r="AE778" s="324" t="e">
        <f t="shared" ca="1" si="353"/>
        <v>#N/A</v>
      </c>
      <c r="AG778" s="306">
        <f t="shared" ca="1" si="375"/>
        <v>1.465058945269762</v>
      </c>
      <c r="AH778" s="304">
        <f t="shared" ca="1" si="376"/>
        <v>-8.3200234243939271</v>
      </c>
    </row>
    <row r="779" spans="1:34" x14ac:dyDescent="0.3">
      <c r="A779" s="347">
        <f t="shared" ca="1" si="354"/>
        <v>1E-4</v>
      </c>
      <c r="B779" s="304">
        <f t="shared" ca="1" si="355"/>
        <v>16.143399999999861</v>
      </c>
      <c r="D779" s="306">
        <f t="shared" ca="1" si="356"/>
        <v>-0.59262094576046365</v>
      </c>
      <c r="E779" s="307">
        <f t="shared" ca="1" si="357"/>
        <v>-1.5110580537383793</v>
      </c>
      <c r="F779" s="304">
        <f t="shared" ca="1" si="358"/>
        <v>1.6231130666474365</v>
      </c>
      <c r="G779" s="306">
        <f t="shared" ca="1" si="359"/>
        <v>3.728567405994657</v>
      </c>
      <c r="H779" s="307">
        <f t="shared" ca="1" si="360"/>
        <v>-52.215072767151547</v>
      </c>
      <c r="I779" s="304">
        <f t="shared" ca="1" si="361"/>
        <v>52.348028033345983</v>
      </c>
      <c r="J779" s="306">
        <f t="shared" ca="1" si="362"/>
        <v>150.09587023194715</v>
      </c>
      <c r="K779" s="307">
        <f t="shared" ca="1" si="363"/>
        <v>-5.0888603629166411</v>
      </c>
      <c r="L779" s="304">
        <f t="shared" ca="1" si="348"/>
        <v>150.18211198567818</v>
      </c>
      <c r="M779" s="306">
        <f t="shared" ca="1" si="364"/>
        <v>-1.4995094530918203</v>
      </c>
      <c r="N779" s="304">
        <f t="shared" ca="1" si="365"/>
        <v>-85.915563002131591</v>
      </c>
      <c r="P779" s="310">
        <f t="shared" ca="1" si="366"/>
        <v>23</v>
      </c>
      <c r="Q779" s="304">
        <f t="shared" ca="1" si="367"/>
        <v>0</v>
      </c>
      <c r="R779" s="306">
        <f t="shared" ca="1" si="368"/>
        <v>0</v>
      </c>
      <c r="S779" s="307">
        <f t="shared" ca="1" si="369"/>
        <v>0.4270000000000001</v>
      </c>
      <c r="T779" s="304">
        <f t="shared" ca="1" si="349"/>
        <v>4.1888700000000014</v>
      </c>
      <c r="U779" s="311">
        <f t="shared" ca="1" si="350"/>
        <v>0</v>
      </c>
      <c r="V779" s="306">
        <f t="shared" ca="1" si="351"/>
        <v>1.2256235440508878</v>
      </c>
      <c r="W779" s="304">
        <f t="shared" ca="1" si="352"/>
        <v>3.5526934830168546</v>
      </c>
      <c r="Y779" s="314" t="str">
        <f t="shared" ca="1" si="370"/>
        <v/>
      </c>
      <c r="Z779" s="315" t="str">
        <f t="shared" ca="1" si="371"/>
        <v/>
      </c>
      <c r="AA779" s="316" t="str">
        <f t="shared" ca="1" si="372"/>
        <v/>
      </c>
      <c r="AC779" s="310" t="e">
        <f t="shared" ca="1" si="373"/>
        <v>#N/A</v>
      </c>
      <c r="AD779" s="323" t="e">
        <f t="shared" ca="1" si="374"/>
        <v>#N/A</v>
      </c>
      <c r="AE779" s="324" t="e">
        <f t="shared" ca="1" si="353"/>
        <v>#N/A</v>
      </c>
      <c r="AG779" s="306">
        <f t="shared" ca="1" si="375"/>
        <v>1.4650089630044381</v>
      </c>
      <c r="AH779" s="304">
        <f t="shared" ca="1" si="376"/>
        <v>-8.3200743393779035</v>
      </c>
    </row>
    <row r="780" spans="1:34" x14ac:dyDescent="0.3">
      <c r="A780" s="347">
        <f t="shared" ca="1" si="354"/>
        <v>1E-4</v>
      </c>
      <c r="B780" s="304">
        <f t="shared" ca="1" si="355"/>
        <v>16.143499999999861</v>
      </c>
      <c r="D780" s="306">
        <f t="shared" ca="1" si="356"/>
        <v>-0.59261349467154822</v>
      </c>
      <c r="E780" s="307">
        <f t="shared" ca="1" si="357"/>
        <v>-1.5110064784342541</v>
      </c>
      <c r="F780" s="304">
        <f t="shared" ca="1" si="358"/>
        <v>1.6230623315008919</v>
      </c>
      <c r="G780" s="306">
        <f t="shared" ca="1" si="359"/>
        <v>3.7285081446451898</v>
      </c>
      <c r="H780" s="307">
        <f t="shared" ca="1" si="360"/>
        <v>-52.215223867799388</v>
      </c>
      <c r="I780" s="304">
        <f t="shared" ca="1" si="361"/>
        <v>52.348174529290823</v>
      </c>
      <c r="J780" s="306">
        <f t="shared" ca="1" si="362"/>
        <v>150.09587023194715</v>
      </c>
      <c r="K780" s="307">
        <f t="shared" ca="1" si="363"/>
        <v>-5.0940818777483887</v>
      </c>
      <c r="L780" s="304">
        <f t="shared" ca="1" si="348"/>
        <v>150.18228900527092</v>
      </c>
      <c r="M780" s="306">
        <f t="shared" ca="1" si="364"/>
        <v>-1.4995107878701222</v>
      </c>
      <c r="N780" s="304">
        <f t="shared" ca="1" si="365"/>
        <v>-85.915639479294882</v>
      </c>
      <c r="P780" s="310">
        <f t="shared" ca="1" si="366"/>
        <v>23</v>
      </c>
      <c r="Q780" s="304">
        <f t="shared" ca="1" si="367"/>
        <v>0</v>
      </c>
      <c r="R780" s="306">
        <f t="shared" ca="1" si="368"/>
        <v>0</v>
      </c>
      <c r="S780" s="307">
        <f t="shared" ca="1" si="369"/>
        <v>0.4270000000000001</v>
      </c>
      <c r="T780" s="304">
        <f t="shared" ca="1" si="349"/>
        <v>4.1888700000000014</v>
      </c>
      <c r="U780" s="311">
        <f t="shared" ca="1" si="350"/>
        <v>0</v>
      </c>
      <c r="V780" s="306">
        <f t="shared" ca="1" si="351"/>
        <v>1.2256241840122477</v>
      </c>
      <c r="W780" s="304">
        <f t="shared" ca="1" si="352"/>
        <v>3.5527152225236858</v>
      </c>
      <c r="Y780" s="314" t="str">
        <f t="shared" ca="1" si="370"/>
        <v/>
      </c>
      <c r="Z780" s="315" t="str">
        <f t="shared" ca="1" si="371"/>
        <v/>
      </c>
      <c r="AA780" s="316" t="str">
        <f t="shared" ca="1" si="372"/>
        <v/>
      </c>
      <c r="AC780" s="310" t="e">
        <f t="shared" ca="1" si="373"/>
        <v>#N/A</v>
      </c>
      <c r="AD780" s="323" t="e">
        <f t="shared" ca="1" si="374"/>
        <v>#N/A</v>
      </c>
      <c r="AE780" s="324" t="e">
        <f t="shared" ca="1" si="353"/>
        <v>#N/A</v>
      </c>
      <c r="AG780" s="306">
        <f t="shared" ca="1" si="375"/>
        <v>1.4649589820966433</v>
      </c>
      <c r="AH780" s="304">
        <f t="shared" ca="1" si="376"/>
        <v>-8.3201252529668714</v>
      </c>
    </row>
    <row r="781" spans="1:34" x14ac:dyDescent="0.3">
      <c r="A781" s="347">
        <f t="shared" ca="1" si="354"/>
        <v>1E-4</v>
      </c>
      <c r="B781" s="304">
        <f t="shared" ca="1" si="355"/>
        <v>16.143599999999861</v>
      </c>
      <c r="D781" s="306">
        <f t="shared" ca="1" si="356"/>
        <v>-0.59260604358471225</v>
      </c>
      <c r="E781" s="307">
        <f t="shared" ca="1" si="357"/>
        <v>-1.5109549045436772</v>
      </c>
      <c r="F781" s="304">
        <f t="shared" ca="1" si="358"/>
        <v>1.6230115977582287</v>
      </c>
      <c r="G781" s="306">
        <f t="shared" ca="1" si="359"/>
        <v>3.7284488840408314</v>
      </c>
      <c r="H781" s="307">
        <f t="shared" ca="1" si="360"/>
        <v>-52.21537496328984</v>
      </c>
      <c r="I781" s="304">
        <f t="shared" ca="1" si="361"/>
        <v>52.348321020237705</v>
      </c>
      <c r="J781" s="306">
        <f t="shared" ca="1" si="362"/>
        <v>150.09587023194715</v>
      </c>
      <c r="K781" s="307">
        <f t="shared" ca="1" si="363"/>
        <v>-5.0993034076899431</v>
      </c>
      <c r="L781" s="304">
        <f t="shared" ca="1" si="348"/>
        <v>150.18246620670868</v>
      </c>
      <c r="M781" s="306">
        <f t="shared" ca="1" si="364"/>
        <v>-1.4995121226197388</v>
      </c>
      <c r="N781" s="304">
        <f t="shared" ca="1" si="365"/>
        <v>-85.915715954814615</v>
      </c>
      <c r="P781" s="310">
        <f t="shared" ca="1" si="366"/>
        <v>23</v>
      </c>
      <c r="Q781" s="304">
        <f t="shared" ca="1" si="367"/>
        <v>0</v>
      </c>
      <c r="R781" s="306">
        <f t="shared" ca="1" si="368"/>
        <v>0</v>
      </c>
      <c r="S781" s="307">
        <f t="shared" ca="1" si="369"/>
        <v>0.4270000000000001</v>
      </c>
      <c r="T781" s="304">
        <f t="shared" ca="1" si="349"/>
        <v>4.1888700000000014</v>
      </c>
      <c r="U781" s="311">
        <f t="shared" ca="1" si="350"/>
        <v>0</v>
      </c>
      <c r="V781" s="306">
        <f t="shared" ca="1" si="351"/>
        <v>1.2256248239757936</v>
      </c>
      <c r="W781" s="304">
        <f t="shared" ca="1" si="352"/>
        <v>3.5527369614348689</v>
      </c>
      <c r="Y781" s="314" t="str">
        <f t="shared" ca="1" si="370"/>
        <v/>
      </c>
      <c r="Z781" s="315" t="str">
        <f t="shared" ca="1" si="371"/>
        <v/>
      </c>
      <c r="AA781" s="316" t="str">
        <f t="shared" ca="1" si="372"/>
        <v/>
      </c>
      <c r="AC781" s="310" t="e">
        <f t="shared" ca="1" si="373"/>
        <v>#N/A</v>
      </c>
      <c r="AD781" s="323" t="e">
        <f t="shared" ca="1" si="374"/>
        <v>#N/A</v>
      </c>
      <c r="AE781" s="324" t="e">
        <f t="shared" ca="1" si="353"/>
        <v>#N/A</v>
      </c>
      <c r="AG781" s="306">
        <f t="shared" ca="1" si="375"/>
        <v>1.4649090025463565</v>
      </c>
      <c r="AH781" s="304">
        <f t="shared" ca="1" si="376"/>
        <v>-8.3201761651608539</v>
      </c>
    </row>
    <row r="782" spans="1:34" x14ac:dyDescent="0.3">
      <c r="A782" s="347">
        <f t="shared" ca="1" si="354"/>
        <v>1E-4</v>
      </c>
      <c r="B782" s="304">
        <f t="shared" ca="1" si="355"/>
        <v>16.14369999999986</v>
      </c>
      <c r="D782" s="306">
        <f t="shared" ca="1" si="356"/>
        <v>-0.59259859249996016</v>
      </c>
      <c r="E782" s="307">
        <f t="shared" ca="1" si="357"/>
        <v>-1.5109033320666203</v>
      </c>
      <c r="F782" s="304">
        <f t="shared" ca="1" si="358"/>
        <v>1.622960865419419</v>
      </c>
      <c r="G782" s="306">
        <f t="shared" ca="1" si="359"/>
        <v>3.7283896241815815</v>
      </c>
      <c r="H782" s="307">
        <f t="shared" ca="1" si="360"/>
        <v>-52.215526053623044</v>
      </c>
      <c r="I782" s="304">
        <f t="shared" ca="1" si="361"/>
        <v>52.348467506186765</v>
      </c>
      <c r="J782" s="306">
        <f t="shared" ca="1" si="362"/>
        <v>150.09587023194715</v>
      </c>
      <c r="K782" s="307">
        <f t="shared" ca="1" si="363"/>
        <v>-5.104524952740789</v>
      </c>
      <c r="L782" s="304">
        <f t="shared" ca="1" si="348"/>
        <v>150.18264358999235</v>
      </c>
      <c r="M782" s="306">
        <f t="shared" ca="1" si="364"/>
        <v>-1.499513457340671</v>
      </c>
      <c r="N782" s="304">
        <f t="shared" ca="1" si="365"/>
        <v>-85.915792428690864</v>
      </c>
      <c r="P782" s="310">
        <f t="shared" ca="1" si="366"/>
        <v>23</v>
      </c>
      <c r="Q782" s="304">
        <f t="shared" ca="1" si="367"/>
        <v>0</v>
      </c>
      <c r="R782" s="306">
        <f t="shared" ca="1" si="368"/>
        <v>0</v>
      </c>
      <c r="S782" s="307">
        <f t="shared" ca="1" si="369"/>
        <v>0.4270000000000001</v>
      </c>
      <c r="T782" s="304">
        <f t="shared" ca="1" si="349"/>
        <v>4.1888700000000014</v>
      </c>
      <c r="U782" s="311">
        <f t="shared" ca="1" si="350"/>
        <v>0</v>
      </c>
      <c r="V782" s="306">
        <f t="shared" ca="1" si="351"/>
        <v>1.2256254639415258</v>
      </c>
      <c r="W782" s="304">
        <f t="shared" ca="1" si="352"/>
        <v>3.5527586997504179</v>
      </c>
      <c r="Y782" s="314" t="str">
        <f t="shared" ca="1" si="370"/>
        <v/>
      </c>
      <c r="Z782" s="315" t="str">
        <f t="shared" ca="1" si="371"/>
        <v/>
      </c>
      <c r="AA782" s="316" t="str">
        <f t="shared" ca="1" si="372"/>
        <v/>
      </c>
      <c r="AC782" s="310" t="e">
        <f t="shared" ca="1" si="373"/>
        <v>#N/A</v>
      </c>
      <c r="AD782" s="323" t="e">
        <f t="shared" ca="1" si="374"/>
        <v>#N/A</v>
      </c>
      <c r="AE782" s="324" t="e">
        <f t="shared" ca="1" si="353"/>
        <v>#N/A</v>
      </c>
      <c r="AG782" s="306">
        <f t="shared" ca="1" si="375"/>
        <v>1.4648590243535509</v>
      </c>
      <c r="AH782" s="304">
        <f t="shared" ca="1" si="376"/>
        <v>-8.3202270759598793</v>
      </c>
    </row>
    <row r="783" spans="1:34" x14ac:dyDescent="0.3">
      <c r="A783" s="347">
        <f t="shared" ca="1" si="354"/>
        <v>1E-4</v>
      </c>
      <c r="B783" s="304">
        <f t="shared" ca="1" si="355"/>
        <v>16.14379999999986</v>
      </c>
      <c r="D783" s="306">
        <f t="shared" ca="1" si="356"/>
        <v>-0.59259114141729685</v>
      </c>
      <c r="E783" s="307">
        <f t="shared" ca="1" si="357"/>
        <v>-1.5108517610030532</v>
      </c>
      <c r="F783" s="304">
        <f t="shared" ca="1" si="358"/>
        <v>1.6229101344844332</v>
      </c>
      <c r="G783" s="306">
        <f t="shared" ca="1" si="359"/>
        <v>3.72833036506744</v>
      </c>
      <c r="H783" s="307">
        <f t="shared" ca="1" si="360"/>
        <v>-52.215677138799144</v>
      </c>
      <c r="I783" s="304">
        <f t="shared" ca="1" si="361"/>
        <v>52.348613987138144</v>
      </c>
      <c r="J783" s="306">
        <f t="shared" ca="1" si="362"/>
        <v>150.09587023194715</v>
      </c>
      <c r="K783" s="307">
        <f t="shared" ca="1" si="363"/>
        <v>-5.1097465129004105</v>
      </c>
      <c r="L783" s="304">
        <f t="shared" ca="1" si="348"/>
        <v>150.18282115512284</v>
      </c>
      <c r="M783" s="306">
        <f t="shared" ca="1" si="364"/>
        <v>-1.4995147920329197</v>
      </c>
      <c r="N783" s="304">
        <f t="shared" ca="1" si="365"/>
        <v>-85.915868900923655</v>
      </c>
      <c r="P783" s="310">
        <f t="shared" ca="1" si="366"/>
        <v>23</v>
      </c>
      <c r="Q783" s="304">
        <f t="shared" ca="1" si="367"/>
        <v>0</v>
      </c>
      <c r="R783" s="306">
        <f t="shared" ca="1" si="368"/>
        <v>0</v>
      </c>
      <c r="S783" s="307">
        <f t="shared" ca="1" si="369"/>
        <v>0.4270000000000001</v>
      </c>
      <c r="T783" s="304">
        <f t="shared" ca="1" si="349"/>
        <v>4.1888700000000014</v>
      </c>
      <c r="U783" s="311">
        <f t="shared" ca="1" si="350"/>
        <v>0</v>
      </c>
      <c r="V783" s="306">
        <f t="shared" ca="1" si="351"/>
        <v>1.2256261039094436</v>
      </c>
      <c r="W783" s="304">
        <f t="shared" ca="1" si="352"/>
        <v>3.5527804374703447</v>
      </c>
      <c r="Y783" s="314" t="str">
        <f t="shared" ca="1" si="370"/>
        <v/>
      </c>
      <c r="Z783" s="315" t="str">
        <f t="shared" ca="1" si="371"/>
        <v/>
      </c>
      <c r="AA783" s="316" t="str">
        <f t="shared" ca="1" si="372"/>
        <v/>
      </c>
      <c r="AC783" s="310" t="e">
        <f t="shared" ca="1" si="373"/>
        <v>#N/A</v>
      </c>
      <c r="AD783" s="323" t="e">
        <f t="shared" ca="1" si="374"/>
        <v>#N/A</v>
      </c>
      <c r="AE783" s="324" t="e">
        <f t="shared" ca="1" si="353"/>
        <v>#N/A</v>
      </c>
      <c r="AG783" s="306">
        <f t="shared" ca="1" si="375"/>
        <v>1.4648090475182034</v>
      </c>
      <c r="AH783" s="304">
        <f t="shared" ca="1" si="376"/>
        <v>-8.3202779853639743</v>
      </c>
    </row>
    <row r="784" spans="1:34" x14ac:dyDescent="0.3">
      <c r="A784" s="347">
        <f t="shared" ca="1" si="354"/>
        <v>1E-4</v>
      </c>
      <c r="B784" s="304">
        <f t="shared" ca="1" si="355"/>
        <v>16.14389999999986</v>
      </c>
      <c r="D784" s="306">
        <f t="shared" ca="1" si="356"/>
        <v>-0.59258369033672698</v>
      </c>
      <c r="E784" s="307">
        <f t="shared" ca="1" si="357"/>
        <v>-1.5108001913529456</v>
      </c>
      <c r="F784" s="304">
        <f t="shared" ca="1" si="358"/>
        <v>1.6228594049532421</v>
      </c>
      <c r="G784" s="306">
        <f t="shared" ca="1" si="359"/>
        <v>3.7282711066984064</v>
      </c>
      <c r="H784" s="307">
        <f t="shared" ca="1" si="360"/>
        <v>-52.215828218818281</v>
      </c>
      <c r="I784" s="304">
        <f t="shared" ca="1" si="361"/>
        <v>52.348760463091978</v>
      </c>
      <c r="J784" s="306">
        <f t="shared" ca="1" si="362"/>
        <v>150.09587023194715</v>
      </c>
      <c r="K784" s="307">
        <f t="shared" ca="1" si="363"/>
        <v>-5.1149680881682915</v>
      </c>
      <c r="L784" s="304">
        <f t="shared" ca="1" si="348"/>
        <v>150.1829989021011</v>
      </c>
      <c r="M784" s="306">
        <f t="shared" ca="1" si="364"/>
        <v>-1.4995161266964854</v>
      </c>
      <c r="N784" s="304">
        <f t="shared" ca="1" si="365"/>
        <v>-85.915945371513047</v>
      </c>
      <c r="P784" s="310">
        <f t="shared" ca="1" si="366"/>
        <v>23</v>
      </c>
      <c r="Q784" s="304">
        <f t="shared" ca="1" si="367"/>
        <v>0</v>
      </c>
      <c r="R784" s="306">
        <f t="shared" ca="1" si="368"/>
        <v>0</v>
      </c>
      <c r="S784" s="307">
        <f t="shared" ca="1" si="369"/>
        <v>0.4270000000000001</v>
      </c>
      <c r="T784" s="304">
        <f t="shared" ca="1" si="349"/>
        <v>4.1888700000000014</v>
      </c>
      <c r="U784" s="311">
        <f t="shared" ca="1" si="350"/>
        <v>0</v>
      </c>
      <c r="V784" s="306">
        <f t="shared" ca="1" si="351"/>
        <v>1.2256267438795478</v>
      </c>
      <c r="W784" s="304">
        <f t="shared" ca="1" si="352"/>
        <v>3.5528021745946607</v>
      </c>
      <c r="Y784" s="314" t="str">
        <f t="shared" ca="1" si="370"/>
        <v/>
      </c>
      <c r="Z784" s="315" t="str">
        <f t="shared" ca="1" si="371"/>
        <v/>
      </c>
      <c r="AA784" s="316" t="str">
        <f t="shared" ca="1" si="372"/>
        <v/>
      </c>
      <c r="AC784" s="310" t="e">
        <f t="shared" ca="1" si="373"/>
        <v>#N/A</v>
      </c>
      <c r="AD784" s="323" t="e">
        <f t="shared" ca="1" si="374"/>
        <v>#N/A</v>
      </c>
      <c r="AE784" s="324" t="e">
        <f t="shared" ca="1" si="353"/>
        <v>#N/A</v>
      </c>
      <c r="AG784" s="306">
        <f t="shared" ca="1" si="375"/>
        <v>1.4647590720402786</v>
      </c>
      <c r="AH784" s="304">
        <f t="shared" ca="1" si="376"/>
        <v>-8.3203288933731709</v>
      </c>
    </row>
    <row r="785" spans="1:34" x14ac:dyDescent="0.3">
      <c r="A785" s="347">
        <f t="shared" ca="1" si="354"/>
        <v>1E-4</v>
      </c>
      <c r="B785" s="304">
        <f t="shared" ca="1" si="355"/>
        <v>16.14399999999986</v>
      </c>
      <c r="D785" s="306">
        <f t="shared" ca="1" si="356"/>
        <v>-0.59257623925825875</v>
      </c>
      <c r="E785" s="307">
        <f t="shared" ca="1" si="357"/>
        <v>-1.510748623116271</v>
      </c>
      <c r="F785" s="304">
        <f t="shared" ca="1" si="358"/>
        <v>1.6228086768258203</v>
      </c>
      <c r="G785" s="306">
        <f t="shared" ca="1" si="359"/>
        <v>3.7282118490744804</v>
      </c>
      <c r="H785" s="307">
        <f t="shared" ca="1" si="360"/>
        <v>-52.21597929368059</v>
      </c>
      <c r="I785" s="304">
        <f t="shared" ca="1" si="361"/>
        <v>52.348906934048394</v>
      </c>
      <c r="J785" s="306">
        <f t="shared" ca="1" si="362"/>
        <v>150.09587023194715</v>
      </c>
      <c r="K785" s="307">
        <f t="shared" ca="1" si="363"/>
        <v>-5.120189678543916</v>
      </c>
      <c r="L785" s="304">
        <f t="shared" ca="1" si="348"/>
        <v>150.18317683092798</v>
      </c>
      <c r="M785" s="306">
        <f t="shared" ca="1" si="364"/>
        <v>-1.4995174613313693</v>
      </c>
      <c r="N785" s="304">
        <f t="shared" ca="1" si="365"/>
        <v>-85.916021840459081</v>
      </c>
      <c r="P785" s="310">
        <f t="shared" ca="1" si="366"/>
        <v>23</v>
      </c>
      <c r="Q785" s="304">
        <f t="shared" ca="1" si="367"/>
        <v>0</v>
      </c>
      <c r="R785" s="306">
        <f t="shared" ca="1" si="368"/>
        <v>0</v>
      </c>
      <c r="S785" s="307">
        <f t="shared" ca="1" si="369"/>
        <v>0.4270000000000001</v>
      </c>
      <c r="T785" s="304">
        <f t="shared" ca="1" si="349"/>
        <v>4.1888700000000014</v>
      </c>
      <c r="U785" s="311">
        <f t="shared" ca="1" si="350"/>
        <v>0</v>
      </c>
      <c r="V785" s="306">
        <f t="shared" ca="1" si="351"/>
        <v>1.2256273838518377</v>
      </c>
      <c r="W785" s="304">
        <f t="shared" ca="1" si="352"/>
        <v>3.5528239111233777</v>
      </c>
      <c r="Y785" s="314" t="str">
        <f t="shared" ca="1" si="370"/>
        <v/>
      </c>
      <c r="Z785" s="315" t="str">
        <f t="shared" ca="1" si="371"/>
        <v/>
      </c>
      <c r="AA785" s="316" t="str">
        <f t="shared" ca="1" si="372"/>
        <v/>
      </c>
      <c r="AC785" s="310" t="e">
        <f t="shared" ca="1" si="373"/>
        <v>#N/A</v>
      </c>
      <c r="AD785" s="323" t="e">
        <f t="shared" ca="1" si="374"/>
        <v>#N/A</v>
      </c>
      <c r="AE785" s="324" t="e">
        <f t="shared" ca="1" si="353"/>
        <v>#N/A</v>
      </c>
      <c r="AG785" s="306">
        <f t="shared" ca="1" si="375"/>
        <v>1.4647090979197568</v>
      </c>
      <c r="AH785" s="304">
        <f t="shared" ca="1" si="376"/>
        <v>-8.320379799987494</v>
      </c>
    </row>
    <row r="786" spans="1:34" x14ac:dyDescent="0.3">
      <c r="A786" s="347">
        <f t="shared" ca="1" si="354"/>
        <v>1E-4</v>
      </c>
      <c r="B786" s="304">
        <f t="shared" ca="1" si="355"/>
        <v>16.14409999999986</v>
      </c>
      <c r="D786" s="306">
        <f t="shared" ca="1" si="356"/>
        <v>-0.59256878818189318</v>
      </c>
      <c r="E786" s="307">
        <f t="shared" ca="1" si="357"/>
        <v>-1.5106970562930027</v>
      </c>
      <c r="F786" s="304">
        <f t="shared" ca="1" si="358"/>
        <v>1.6227579501021405</v>
      </c>
      <c r="G786" s="306">
        <f t="shared" ca="1" si="359"/>
        <v>3.7281525921956624</v>
      </c>
      <c r="H786" s="307">
        <f t="shared" ca="1" si="360"/>
        <v>-52.21613036338622</v>
      </c>
      <c r="I786" s="304">
        <f t="shared" ca="1" si="361"/>
        <v>52.349053400007527</v>
      </c>
      <c r="J786" s="306">
        <f t="shared" ca="1" si="362"/>
        <v>150.09587023194715</v>
      </c>
      <c r="K786" s="307">
        <f t="shared" ca="1" si="363"/>
        <v>-5.1254112840267698</v>
      </c>
      <c r="L786" s="304">
        <f t="shared" ca="1" si="348"/>
        <v>150.18335494160445</v>
      </c>
      <c r="M786" s="306">
        <f t="shared" ca="1" si="364"/>
        <v>-1.499518795937572</v>
      </c>
      <c r="N786" s="304">
        <f t="shared" ca="1" si="365"/>
        <v>-85.916098307761814</v>
      </c>
      <c r="P786" s="310">
        <f t="shared" ca="1" si="366"/>
        <v>23</v>
      </c>
      <c r="Q786" s="304">
        <f t="shared" ca="1" si="367"/>
        <v>0</v>
      </c>
      <c r="R786" s="306">
        <f t="shared" ca="1" si="368"/>
        <v>0</v>
      </c>
      <c r="S786" s="307">
        <f t="shared" ca="1" si="369"/>
        <v>0.4270000000000001</v>
      </c>
      <c r="T786" s="304">
        <f t="shared" ca="1" si="349"/>
        <v>4.1888700000000014</v>
      </c>
      <c r="U786" s="311">
        <f t="shared" ca="1" si="350"/>
        <v>0</v>
      </c>
      <c r="V786" s="306">
        <f t="shared" ca="1" si="351"/>
        <v>1.2256280238263135</v>
      </c>
      <c r="W786" s="304">
        <f t="shared" ca="1" si="352"/>
        <v>3.5528456470565053</v>
      </c>
      <c r="Y786" s="314" t="str">
        <f t="shared" ca="1" si="370"/>
        <v/>
      </c>
      <c r="Z786" s="315" t="str">
        <f t="shared" ca="1" si="371"/>
        <v/>
      </c>
      <c r="AA786" s="316" t="str">
        <f t="shared" ca="1" si="372"/>
        <v/>
      </c>
      <c r="AC786" s="310" t="e">
        <f t="shared" ca="1" si="373"/>
        <v>#N/A</v>
      </c>
      <c r="AD786" s="323" t="e">
        <f t="shared" ca="1" si="374"/>
        <v>#N/A</v>
      </c>
      <c r="AE786" s="324" t="e">
        <f t="shared" ca="1" si="353"/>
        <v>#N/A</v>
      </c>
      <c r="AG786" s="306">
        <f t="shared" ca="1" si="375"/>
        <v>1.4646591251566132</v>
      </c>
      <c r="AH786" s="304">
        <f t="shared" ca="1" si="376"/>
        <v>-8.3204307052069719</v>
      </c>
    </row>
    <row r="787" spans="1:34" x14ac:dyDescent="0.3">
      <c r="A787" s="347">
        <f t="shared" ca="1" si="354"/>
        <v>1E-4</v>
      </c>
      <c r="B787" s="304">
        <f t="shared" ca="1" si="355"/>
        <v>16.144199999999859</v>
      </c>
      <c r="D787" s="306">
        <f t="shared" ca="1" si="356"/>
        <v>-0.59256133710763792</v>
      </c>
      <c r="E787" s="307">
        <f t="shared" ca="1" si="357"/>
        <v>-1.5106454908831175</v>
      </c>
      <c r="F787" s="304">
        <f t="shared" ca="1" si="358"/>
        <v>1.6227072247821808</v>
      </c>
      <c r="G787" s="306">
        <f t="shared" ca="1" si="359"/>
        <v>3.7280933360619515</v>
      </c>
      <c r="H787" s="307">
        <f t="shared" ca="1" si="360"/>
        <v>-52.216281427935307</v>
      </c>
      <c r="I787" s="304">
        <f t="shared" ca="1" si="361"/>
        <v>52.34919986096952</v>
      </c>
      <c r="J787" s="306">
        <f t="shared" ca="1" si="362"/>
        <v>150.09587023194715</v>
      </c>
      <c r="K787" s="307">
        <f t="shared" ca="1" si="363"/>
        <v>-5.1306329046163359</v>
      </c>
      <c r="L787" s="304">
        <f t="shared" ca="1" si="348"/>
        <v>150.18353323413137</v>
      </c>
      <c r="M787" s="306">
        <f t="shared" ca="1" si="364"/>
        <v>-1.4995201305150945</v>
      </c>
      <c r="N787" s="304">
        <f t="shared" ca="1" si="365"/>
        <v>-85.916174773421275</v>
      </c>
      <c r="P787" s="310">
        <f t="shared" ca="1" si="366"/>
        <v>23</v>
      </c>
      <c r="Q787" s="304">
        <f t="shared" ca="1" si="367"/>
        <v>0</v>
      </c>
      <c r="R787" s="306">
        <f t="shared" ca="1" si="368"/>
        <v>0</v>
      </c>
      <c r="S787" s="307">
        <f t="shared" ca="1" si="369"/>
        <v>0.4270000000000001</v>
      </c>
      <c r="T787" s="304">
        <f t="shared" ca="1" si="349"/>
        <v>4.1888700000000014</v>
      </c>
      <c r="U787" s="311">
        <f t="shared" ca="1" si="350"/>
        <v>0</v>
      </c>
      <c r="V787" s="306">
        <f t="shared" ca="1" si="351"/>
        <v>1.2256286638029752</v>
      </c>
      <c r="W787" s="304">
        <f t="shared" ca="1" si="352"/>
        <v>3.5528673823940569</v>
      </c>
      <c r="Y787" s="314" t="str">
        <f t="shared" ca="1" si="370"/>
        <v/>
      </c>
      <c r="Z787" s="315" t="str">
        <f t="shared" ca="1" si="371"/>
        <v/>
      </c>
      <c r="AA787" s="316" t="str">
        <f t="shared" ca="1" si="372"/>
        <v/>
      </c>
      <c r="AC787" s="310" t="e">
        <f t="shared" ca="1" si="373"/>
        <v>#N/A</v>
      </c>
      <c r="AD787" s="323" t="e">
        <f t="shared" ca="1" si="374"/>
        <v>#N/A</v>
      </c>
      <c r="AE787" s="324" t="e">
        <f t="shared" ca="1" si="353"/>
        <v>#N/A</v>
      </c>
      <c r="AG787" s="306">
        <f t="shared" ca="1" si="375"/>
        <v>1.4646091537508248</v>
      </c>
      <c r="AH787" s="304">
        <f t="shared" ca="1" si="376"/>
        <v>-8.320481609031626</v>
      </c>
    </row>
    <row r="788" spans="1:34" x14ac:dyDescent="0.3">
      <c r="A788" s="347">
        <f t="shared" ca="1" si="354"/>
        <v>1E-4</v>
      </c>
      <c r="B788" s="304">
        <f t="shared" ca="1" si="355"/>
        <v>16.144299999999859</v>
      </c>
      <c r="D788" s="306">
        <f t="shared" ca="1" si="356"/>
        <v>-0.5925538860354963</v>
      </c>
      <c r="E788" s="307">
        <f t="shared" ca="1" si="357"/>
        <v>-1.5105939268865818</v>
      </c>
      <c r="F788" s="304">
        <f t="shared" ca="1" si="358"/>
        <v>1.6226565008659077</v>
      </c>
      <c r="G788" s="306">
        <f t="shared" ca="1" si="359"/>
        <v>3.7280340806733481</v>
      </c>
      <c r="H788" s="307">
        <f t="shared" ca="1" si="360"/>
        <v>-52.216432487327992</v>
      </c>
      <c r="I788" s="304">
        <f t="shared" ca="1" si="361"/>
        <v>52.349346316934508</v>
      </c>
      <c r="J788" s="306">
        <f t="shared" ca="1" si="362"/>
        <v>150.09587023194715</v>
      </c>
      <c r="K788" s="307">
        <f t="shared" ca="1" si="363"/>
        <v>-5.1358545403120992</v>
      </c>
      <c r="L788" s="304">
        <f t="shared" ca="1" si="348"/>
        <v>150.18371170850972</v>
      </c>
      <c r="M788" s="306">
        <f t="shared" ca="1" si="364"/>
        <v>-1.4995214650639372</v>
      </c>
      <c r="N788" s="304">
        <f t="shared" ca="1" si="365"/>
        <v>-85.916251237437521</v>
      </c>
      <c r="P788" s="310">
        <f t="shared" ca="1" si="366"/>
        <v>23</v>
      </c>
      <c r="Q788" s="304">
        <f t="shared" ca="1" si="367"/>
        <v>0</v>
      </c>
      <c r="R788" s="306">
        <f t="shared" ca="1" si="368"/>
        <v>0</v>
      </c>
      <c r="S788" s="307">
        <f t="shared" ca="1" si="369"/>
        <v>0.4270000000000001</v>
      </c>
      <c r="T788" s="304">
        <f t="shared" ca="1" si="349"/>
        <v>4.1888700000000014</v>
      </c>
      <c r="U788" s="311">
        <f t="shared" ca="1" si="350"/>
        <v>0</v>
      </c>
      <c r="V788" s="306">
        <f t="shared" ca="1" si="351"/>
        <v>1.2256293037818227</v>
      </c>
      <c r="W788" s="304">
        <f t="shared" ca="1" si="352"/>
        <v>3.5528891171360457</v>
      </c>
      <c r="Y788" s="314" t="str">
        <f t="shared" ca="1" si="370"/>
        <v/>
      </c>
      <c r="Z788" s="315" t="str">
        <f t="shared" ca="1" si="371"/>
        <v/>
      </c>
      <c r="AA788" s="316" t="str">
        <f t="shared" ca="1" si="372"/>
        <v/>
      </c>
      <c r="AC788" s="310" t="e">
        <f t="shared" ca="1" si="373"/>
        <v>#N/A</v>
      </c>
      <c r="AD788" s="323" t="e">
        <f t="shared" ca="1" si="374"/>
        <v>#N/A</v>
      </c>
      <c r="AE788" s="324" t="e">
        <f t="shared" ca="1" si="353"/>
        <v>#N/A</v>
      </c>
      <c r="AG788" s="306">
        <f t="shared" ca="1" si="375"/>
        <v>1.4645591837023595</v>
      </c>
      <c r="AH788" s="304">
        <f t="shared" ca="1" si="376"/>
        <v>-8.3205325114614901</v>
      </c>
    </row>
    <row r="789" spans="1:34" x14ac:dyDescent="0.3">
      <c r="A789" s="347">
        <f t="shared" ca="1" si="354"/>
        <v>1E-4</v>
      </c>
      <c r="B789" s="304">
        <f t="shared" ca="1" si="355"/>
        <v>16.144399999999859</v>
      </c>
      <c r="D789" s="306">
        <f t="shared" ca="1" si="356"/>
        <v>-0.59254643496547676</v>
      </c>
      <c r="E789" s="307">
        <f t="shared" ca="1" si="357"/>
        <v>-1.5105423643033671</v>
      </c>
      <c r="F789" s="304">
        <f t="shared" ca="1" si="358"/>
        <v>1.622605778353295</v>
      </c>
      <c r="G789" s="306">
        <f t="shared" ca="1" si="359"/>
        <v>3.7279748260298513</v>
      </c>
      <c r="H789" s="307">
        <f t="shared" ca="1" si="360"/>
        <v>-52.216583541564425</v>
      </c>
      <c r="I789" s="304">
        <f t="shared" ca="1" si="361"/>
        <v>52.349492767902625</v>
      </c>
      <c r="J789" s="306">
        <f t="shared" ca="1" si="362"/>
        <v>150.09587023194715</v>
      </c>
      <c r="K789" s="307">
        <f t="shared" ca="1" si="363"/>
        <v>-5.1410761911135436</v>
      </c>
      <c r="L789" s="304">
        <f t="shared" ca="1" si="348"/>
        <v>150.18389036474036</v>
      </c>
      <c r="M789" s="306">
        <f t="shared" ca="1" si="364"/>
        <v>-1.4995227995841014</v>
      </c>
      <c r="N789" s="304">
        <f t="shared" ca="1" si="365"/>
        <v>-85.916327699810608</v>
      </c>
      <c r="P789" s="310">
        <f t="shared" ca="1" si="366"/>
        <v>23</v>
      </c>
      <c r="Q789" s="304">
        <f t="shared" ca="1" si="367"/>
        <v>0</v>
      </c>
      <c r="R789" s="306">
        <f t="shared" ca="1" si="368"/>
        <v>0</v>
      </c>
      <c r="S789" s="307">
        <f t="shared" ca="1" si="369"/>
        <v>0.4270000000000001</v>
      </c>
      <c r="T789" s="304">
        <f t="shared" ca="1" si="349"/>
        <v>4.1888700000000014</v>
      </c>
      <c r="U789" s="311">
        <f t="shared" ca="1" si="350"/>
        <v>0</v>
      </c>
      <c r="V789" s="306">
        <f t="shared" ca="1" si="351"/>
        <v>1.2256299437628555</v>
      </c>
      <c r="W789" s="304">
        <f t="shared" ca="1" si="352"/>
        <v>3.5529108512824803</v>
      </c>
      <c r="Y789" s="314" t="str">
        <f t="shared" ca="1" si="370"/>
        <v/>
      </c>
      <c r="Z789" s="315" t="str">
        <f t="shared" ca="1" si="371"/>
        <v/>
      </c>
      <c r="AA789" s="316" t="str">
        <f t="shared" ca="1" si="372"/>
        <v/>
      </c>
      <c r="AC789" s="310" t="e">
        <f t="shared" ca="1" si="373"/>
        <v>#N/A</v>
      </c>
      <c r="AD789" s="323" t="e">
        <f t="shared" ca="1" si="374"/>
        <v>#N/A</v>
      </c>
      <c r="AE789" s="324" t="e">
        <f t="shared" ca="1" si="353"/>
        <v>#N/A</v>
      </c>
      <c r="AG789" s="306">
        <f t="shared" ca="1" si="375"/>
        <v>1.4645092150111942</v>
      </c>
      <c r="AH789" s="304">
        <f t="shared" ca="1" si="376"/>
        <v>-8.3205834124965925</v>
      </c>
    </row>
    <row r="790" spans="1:34" x14ac:dyDescent="0.3">
      <c r="A790" s="347">
        <f t="shared" ca="1" si="354"/>
        <v>1E-4</v>
      </c>
      <c r="B790" s="304">
        <f t="shared" ca="1" si="355"/>
        <v>16.144499999999859</v>
      </c>
      <c r="D790" s="306">
        <f t="shared" ca="1" si="356"/>
        <v>-0.59253898389758142</v>
      </c>
      <c r="E790" s="307">
        <f t="shared" ca="1" si="357"/>
        <v>-1.5104908031334521</v>
      </c>
      <c r="F790" s="304">
        <f t="shared" ca="1" si="358"/>
        <v>1.6225550572443201</v>
      </c>
      <c r="G790" s="306">
        <f t="shared" ca="1" si="359"/>
        <v>3.7279155721314616</v>
      </c>
      <c r="H790" s="307">
        <f t="shared" ca="1" si="360"/>
        <v>-52.216734590644741</v>
      </c>
      <c r="I790" s="304">
        <f t="shared" ca="1" si="361"/>
        <v>52.349639213874006</v>
      </c>
      <c r="J790" s="306">
        <f t="shared" ca="1" si="362"/>
        <v>150.09587023194715</v>
      </c>
      <c r="K790" s="307">
        <f t="shared" ca="1" si="363"/>
        <v>-5.1462978570201541</v>
      </c>
      <c r="L790" s="304">
        <f t="shared" ca="1" si="348"/>
        <v>150.18406920282419</v>
      </c>
      <c r="M790" s="306">
        <f t="shared" ca="1" si="364"/>
        <v>-1.4995241340755878</v>
      </c>
      <c r="N790" s="304">
        <f t="shared" ca="1" si="365"/>
        <v>-85.91640416054058</v>
      </c>
      <c r="P790" s="310">
        <f t="shared" ca="1" si="366"/>
        <v>23</v>
      </c>
      <c r="Q790" s="304">
        <f t="shared" ca="1" si="367"/>
        <v>0</v>
      </c>
      <c r="R790" s="306">
        <f t="shared" ca="1" si="368"/>
        <v>0</v>
      </c>
      <c r="S790" s="307">
        <f t="shared" ca="1" si="369"/>
        <v>0.4270000000000001</v>
      </c>
      <c r="T790" s="304">
        <f t="shared" ca="1" si="349"/>
        <v>4.1888700000000014</v>
      </c>
      <c r="U790" s="311">
        <f t="shared" ca="1" si="350"/>
        <v>0</v>
      </c>
      <c r="V790" s="306">
        <f t="shared" ca="1" si="351"/>
        <v>1.2256305837460739</v>
      </c>
      <c r="W790" s="304">
        <f t="shared" ca="1" si="352"/>
        <v>3.5529325848333739</v>
      </c>
      <c r="Y790" s="314" t="str">
        <f t="shared" ca="1" si="370"/>
        <v/>
      </c>
      <c r="Z790" s="315" t="str">
        <f t="shared" ca="1" si="371"/>
        <v/>
      </c>
      <c r="AA790" s="316" t="str">
        <f t="shared" ca="1" si="372"/>
        <v/>
      </c>
      <c r="AC790" s="310" t="e">
        <f t="shared" ca="1" si="373"/>
        <v>#N/A</v>
      </c>
      <c r="AD790" s="323" t="e">
        <f t="shared" ca="1" si="374"/>
        <v>#N/A</v>
      </c>
      <c r="AE790" s="324" t="e">
        <f t="shared" ca="1" si="353"/>
        <v>#N/A</v>
      </c>
      <c r="AG790" s="306">
        <f t="shared" ca="1" si="375"/>
        <v>1.4644592476773042</v>
      </c>
      <c r="AH790" s="304">
        <f t="shared" ca="1" si="376"/>
        <v>-8.3206343121369546</v>
      </c>
    </row>
    <row r="791" spans="1:34" x14ac:dyDescent="0.3">
      <c r="A791" s="347">
        <f t="shared" ca="1" si="354"/>
        <v>1E-4</v>
      </c>
      <c r="B791" s="304">
        <f t="shared" ca="1" si="355"/>
        <v>16.144599999999858</v>
      </c>
      <c r="D791" s="306">
        <f t="shared" ca="1" si="356"/>
        <v>-0.59253153283181514</v>
      </c>
      <c r="E791" s="307">
        <f t="shared" ca="1" si="357"/>
        <v>-1.510439243376803</v>
      </c>
      <c r="F791" s="304">
        <f t="shared" ca="1" si="358"/>
        <v>1.6225043375389507</v>
      </c>
      <c r="G791" s="306">
        <f t="shared" ca="1" si="359"/>
        <v>3.7278563189781786</v>
      </c>
      <c r="H791" s="307">
        <f t="shared" ca="1" si="360"/>
        <v>-52.216885634569081</v>
      </c>
      <c r="I791" s="304">
        <f t="shared" ca="1" si="361"/>
        <v>52.349785654848795</v>
      </c>
      <c r="J791" s="306">
        <f t="shared" ca="1" si="362"/>
        <v>150.09587023194715</v>
      </c>
      <c r="K791" s="307">
        <f t="shared" ca="1" si="363"/>
        <v>-5.1515195380314145</v>
      </c>
      <c r="L791" s="304">
        <f t="shared" ca="1" si="348"/>
        <v>150.18424822276214</v>
      </c>
      <c r="M791" s="306">
        <f t="shared" ca="1" si="364"/>
        <v>-1.4995254685383972</v>
      </c>
      <c r="N791" s="304">
        <f t="shared" ca="1" si="365"/>
        <v>-85.916480619627464</v>
      </c>
      <c r="P791" s="310">
        <f t="shared" ca="1" si="366"/>
        <v>23</v>
      </c>
      <c r="Q791" s="304">
        <f t="shared" ca="1" si="367"/>
        <v>0</v>
      </c>
      <c r="R791" s="306">
        <f t="shared" ca="1" si="368"/>
        <v>0</v>
      </c>
      <c r="S791" s="307">
        <f t="shared" ca="1" si="369"/>
        <v>0.4270000000000001</v>
      </c>
      <c r="T791" s="304">
        <f t="shared" ca="1" si="349"/>
        <v>4.1888700000000014</v>
      </c>
      <c r="U791" s="311">
        <f t="shared" ca="1" si="350"/>
        <v>0</v>
      </c>
      <c r="V791" s="306">
        <f t="shared" ca="1" si="351"/>
        <v>1.2256312237314781</v>
      </c>
      <c r="W791" s="304">
        <f t="shared" ca="1" si="352"/>
        <v>3.5529543177887408</v>
      </c>
      <c r="Y791" s="314" t="str">
        <f t="shared" ca="1" si="370"/>
        <v/>
      </c>
      <c r="Z791" s="315" t="str">
        <f t="shared" ca="1" si="371"/>
        <v/>
      </c>
      <c r="AA791" s="316" t="str">
        <f t="shared" ca="1" si="372"/>
        <v/>
      </c>
      <c r="AC791" s="310" t="e">
        <f t="shared" ca="1" si="373"/>
        <v>#N/A</v>
      </c>
      <c r="AD791" s="323" t="e">
        <f t="shared" ca="1" si="374"/>
        <v>#N/A</v>
      </c>
      <c r="AE791" s="324" t="e">
        <f t="shared" ca="1" si="353"/>
        <v>#N/A</v>
      </c>
      <c r="AG791" s="306">
        <f t="shared" ca="1" si="375"/>
        <v>1.4644092817006626</v>
      </c>
      <c r="AH791" s="304">
        <f t="shared" ca="1" si="376"/>
        <v>-8.3206852103826066</v>
      </c>
    </row>
    <row r="792" spans="1:34" x14ac:dyDescent="0.3">
      <c r="A792" s="347">
        <f t="shared" ca="1" si="354"/>
        <v>1E-4</v>
      </c>
      <c r="B792" s="304">
        <f t="shared" ca="1" si="355"/>
        <v>16.144699999999858</v>
      </c>
      <c r="D792" s="306">
        <f t="shared" ca="1" si="356"/>
        <v>-0.59252408176818505</v>
      </c>
      <c r="E792" s="307">
        <f t="shared" ca="1" si="357"/>
        <v>-1.5103876850333879</v>
      </c>
      <c r="F792" s="304">
        <f t="shared" ca="1" si="358"/>
        <v>1.6224536192371564</v>
      </c>
      <c r="G792" s="306">
        <f t="shared" ca="1" si="359"/>
        <v>3.7277970665700018</v>
      </c>
      <c r="H792" s="307">
        <f t="shared" ca="1" si="360"/>
        <v>-52.217036673337581</v>
      </c>
      <c r="I792" s="304">
        <f t="shared" ca="1" si="361"/>
        <v>52.349932090827103</v>
      </c>
      <c r="J792" s="306">
        <f t="shared" ca="1" si="362"/>
        <v>150.09587023194715</v>
      </c>
      <c r="K792" s="307">
        <f t="shared" ca="1" si="363"/>
        <v>-5.1567412341468097</v>
      </c>
      <c r="L792" s="304">
        <f t="shared" ca="1" si="348"/>
        <v>150.18442742455514</v>
      </c>
      <c r="M792" s="306">
        <f t="shared" ca="1" si="364"/>
        <v>-1.4995268029725302</v>
      </c>
      <c r="N792" s="304">
        <f t="shared" ca="1" si="365"/>
        <v>-85.916557077071332</v>
      </c>
      <c r="P792" s="310">
        <f t="shared" ca="1" si="366"/>
        <v>23</v>
      </c>
      <c r="Q792" s="304">
        <f t="shared" ca="1" si="367"/>
        <v>0</v>
      </c>
      <c r="R792" s="306">
        <f t="shared" ca="1" si="368"/>
        <v>0</v>
      </c>
      <c r="S792" s="307">
        <f t="shared" ca="1" si="369"/>
        <v>0.4270000000000001</v>
      </c>
      <c r="T792" s="304">
        <f t="shared" ca="1" si="349"/>
        <v>4.1888700000000014</v>
      </c>
      <c r="U792" s="311">
        <f t="shared" ca="1" si="350"/>
        <v>0</v>
      </c>
      <c r="V792" s="306">
        <f t="shared" ca="1" si="351"/>
        <v>1.2256318637190677</v>
      </c>
      <c r="W792" s="304">
        <f t="shared" ca="1" si="352"/>
        <v>3.5529760501485854</v>
      </c>
      <c r="Y792" s="314" t="str">
        <f t="shared" ca="1" si="370"/>
        <v/>
      </c>
      <c r="Z792" s="315" t="str">
        <f t="shared" ca="1" si="371"/>
        <v/>
      </c>
      <c r="AA792" s="316" t="str">
        <f t="shared" ca="1" si="372"/>
        <v/>
      </c>
      <c r="AC792" s="310" t="e">
        <f t="shared" ca="1" si="373"/>
        <v>#N/A</v>
      </c>
      <c r="AD792" s="323" t="e">
        <f t="shared" ca="1" si="374"/>
        <v>#N/A</v>
      </c>
      <c r="AE792" s="324" t="e">
        <f t="shared" ca="1" si="353"/>
        <v>#N/A</v>
      </c>
      <c r="AG792" s="306">
        <f t="shared" ca="1" si="375"/>
        <v>1.4643593170812412</v>
      </c>
      <c r="AH792" s="304">
        <f t="shared" ca="1" si="376"/>
        <v>-8.3207361072335839</v>
      </c>
    </row>
    <row r="793" spans="1:34" x14ac:dyDescent="0.3">
      <c r="A793" s="347">
        <f t="shared" ca="1" si="354"/>
        <v>1E-4</v>
      </c>
      <c r="B793" s="304">
        <f t="shared" ca="1" si="355"/>
        <v>16.144799999999858</v>
      </c>
      <c r="D793" s="306">
        <f t="shared" ca="1" si="356"/>
        <v>-0.5925166307066958</v>
      </c>
      <c r="E793" s="307">
        <f t="shared" ca="1" si="357"/>
        <v>-1.5103361281031962</v>
      </c>
      <c r="F793" s="304">
        <f t="shared" ca="1" si="358"/>
        <v>1.6224029023389255</v>
      </c>
      <c r="G793" s="306">
        <f t="shared" ca="1" si="359"/>
        <v>3.7277378149069311</v>
      </c>
      <c r="H793" s="307">
        <f t="shared" ca="1" si="360"/>
        <v>-52.217187706950391</v>
      </c>
      <c r="I793" s="304">
        <f t="shared" ca="1" si="361"/>
        <v>52.350078521809095</v>
      </c>
      <c r="J793" s="306">
        <f t="shared" ca="1" si="362"/>
        <v>150.09587023194715</v>
      </c>
      <c r="K793" s="307">
        <f t="shared" ca="1" si="363"/>
        <v>-5.1619629453658238</v>
      </c>
      <c r="L793" s="304">
        <f t="shared" ca="1" si="348"/>
        <v>150.18460680820405</v>
      </c>
      <c r="M793" s="306">
        <f t="shared" ca="1" si="364"/>
        <v>-1.4995281373779878</v>
      </c>
      <c r="N793" s="304">
        <f t="shared" ca="1" si="365"/>
        <v>-85.916633532872211</v>
      </c>
      <c r="P793" s="310">
        <f t="shared" ca="1" si="366"/>
        <v>23</v>
      </c>
      <c r="Q793" s="304">
        <f t="shared" ca="1" si="367"/>
        <v>0</v>
      </c>
      <c r="R793" s="306">
        <f t="shared" ca="1" si="368"/>
        <v>0</v>
      </c>
      <c r="S793" s="307">
        <f t="shared" ca="1" si="369"/>
        <v>0.4270000000000001</v>
      </c>
      <c r="T793" s="304">
        <f t="shared" ca="1" si="349"/>
        <v>4.1888700000000014</v>
      </c>
      <c r="U793" s="311">
        <f t="shared" ca="1" si="350"/>
        <v>0</v>
      </c>
      <c r="V793" s="306">
        <f t="shared" ca="1" si="351"/>
        <v>1.2256325037088429</v>
      </c>
      <c r="W793" s="304">
        <f t="shared" ca="1" si="352"/>
        <v>3.5529977819129277</v>
      </c>
      <c r="Y793" s="314" t="str">
        <f t="shared" ca="1" si="370"/>
        <v/>
      </c>
      <c r="Z793" s="315" t="str">
        <f t="shared" ca="1" si="371"/>
        <v/>
      </c>
      <c r="AA793" s="316" t="str">
        <f t="shared" ca="1" si="372"/>
        <v/>
      </c>
      <c r="AC793" s="310" t="e">
        <f t="shared" ca="1" si="373"/>
        <v>#N/A</v>
      </c>
      <c r="AD793" s="323" t="e">
        <f t="shared" ca="1" si="374"/>
        <v>#N/A</v>
      </c>
      <c r="AE793" s="324" t="e">
        <f t="shared" ca="1" si="353"/>
        <v>#N/A</v>
      </c>
      <c r="AG793" s="306">
        <f t="shared" ca="1" si="375"/>
        <v>1.4643093538190275</v>
      </c>
      <c r="AH793" s="304">
        <f t="shared" ca="1" si="376"/>
        <v>-8.3207870026898938</v>
      </c>
    </row>
    <row r="794" spans="1:34" x14ac:dyDescent="0.3">
      <c r="A794" s="347">
        <f t="shared" ca="1" si="354"/>
        <v>1E-4</v>
      </c>
      <c r="B794" s="304">
        <f t="shared" ca="1" si="355"/>
        <v>16.144899999999858</v>
      </c>
      <c r="D794" s="306">
        <f t="shared" ca="1" si="356"/>
        <v>-0.59250917964735206</v>
      </c>
      <c r="E794" s="307">
        <f t="shared" ca="1" si="357"/>
        <v>-1.5102845725861798</v>
      </c>
      <c r="F794" s="304">
        <f t="shared" ca="1" si="358"/>
        <v>1.6223521868442123</v>
      </c>
      <c r="G794" s="306">
        <f t="shared" ca="1" si="359"/>
        <v>3.7276785639889662</v>
      </c>
      <c r="H794" s="307">
        <f t="shared" ca="1" si="360"/>
        <v>-52.217338735407651</v>
      </c>
      <c r="I794" s="304">
        <f t="shared" ca="1" si="361"/>
        <v>52.350224947794899</v>
      </c>
      <c r="J794" s="306">
        <f t="shared" ca="1" si="362"/>
        <v>150.09587023194715</v>
      </c>
      <c r="K794" s="307">
        <f t="shared" ca="1" si="363"/>
        <v>-5.1671846716879415</v>
      </c>
      <c r="L794" s="304">
        <f t="shared" ca="1" si="348"/>
        <v>150.18478637370978</v>
      </c>
      <c r="M794" s="306">
        <f t="shared" ca="1" si="364"/>
        <v>-1.4995294717547711</v>
      </c>
      <c r="N794" s="304">
        <f t="shared" ca="1" si="365"/>
        <v>-85.916709987030174</v>
      </c>
      <c r="P794" s="310">
        <f t="shared" ca="1" si="366"/>
        <v>23</v>
      </c>
      <c r="Q794" s="304">
        <f t="shared" ca="1" si="367"/>
        <v>0</v>
      </c>
      <c r="R794" s="306">
        <f t="shared" ca="1" si="368"/>
        <v>0</v>
      </c>
      <c r="S794" s="307">
        <f t="shared" ca="1" si="369"/>
        <v>0.4270000000000001</v>
      </c>
      <c r="T794" s="304">
        <f t="shared" ca="1" si="349"/>
        <v>4.1888700000000014</v>
      </c>
      <c r="U794" s="311">
        <f t="shared" ca="1" si="350"/>
        <v>0</v>
      </c>
      <c r="V794" s="306">
        <f t="shared" ca="1" si="351"/>
        <v>1.2256331437008035</v>
      </c>
      <c r="W794" s="304">
        <f t="shared" ca="1" si="352"/>
        <v>3.5530195130817757</v>
      </c>
      <c r="Y794" s="314" t="str">
        <f t="shared" ca="1" si="370"/>
        <v/>
      </c>
      <c r="Z794" s="315" t="str">
        <f t="shared" ca="1" si="371"/>
        <v/>
      </c>
      <c r="AA794" s="316" t="str">
        <f t="shared" ca="1" si="372"/>
        <v/>
      </c>
      <c r="AC794" s="310" t="e">
        <f t="shared" ca="1" si="373"/>
        <v>#N/A</v>
      </c>
      <c r="AD794" s="323" t="e">
        <f t="shared" ca="1" si="374"/>
        <v>#N/A</v>
      </c>
      <c r="AE794" s="324" t="e">
        <f t="shared" ca="1" si="353"/>
        <v>#N/A</v>
      </c>
      <c r="AG794" s="306">
        <f t="shared" ca="1" si="375"/>
        <v>1.4642593919139735</v>
      </c>
      <c r="AH794" s="304">
        <f t="shared" ca="1" si="376"/>
        <v>-8.3208378967515859</v>
      </c>
    </row>
    <row r="795" spans="1:34" x14ac:dyDescent="0.3">
      <c r="A795" s="347">
        <f t="shared" ca="1" si="354"/>
        <v>1E-4</v>
      </c>
      <c r="B795" s="304">
        <f t="shared" ca="1" si="355"/>
        <v>16.144999999999857</v>
      </c>
      <c r="D795" s="306">
        <f t="shared" ca="1" si="356"/>
        <v>-0.59250172859015759</v>
      </c>
      <c r="E795" s="307">
        <f t="shared" ca="1" si="357"/>
        <v>-1.5102330184823227</v>
      </c>
      <c r="F795" s="304">
        <f t="shared" ca="1" si="358"/>
        <v>1.6223014727529999</v>
      </c>
      <c r="G795" s="306">
        <f t="shared" ca="1" si="359"/>
        <v>3.7276193138161071</v>
      </c>
      <c r="H795" s="307">
        <f t="shared" ca="1" si="360"/>
        <v>-52.217489758709497</v>
      </c>
      <c r="I795" s="304">
        <f t="shared" ca="1" si="361"/>
        <v>52.350371368784636</v>
      </c>
      <c r="J795" s="306">
        <f t="shared" ca="1" si="362"/>
        <v>150.09587023194715</v>
      </c>
      <c r="K795" s="307">
        <f t="shared" ca="1" si="363"/>
        <v>-5.1724064131126477</v>
      </c>
      <c r="L795" s="304">
        <f t="shared" ca="1" si="348"/>
        <v>150.18496612107327</v>
      </c>
      <c r="M795" s="306">
        <f t="shared" ca="1" si="364"/>
        <v>-1.4995308061028805</v>
      </c>
      <c r="N795" s="304">
        <f t="shared" ca="1" si="365"/>
        <v>-85.916786439545234</v>
      </c>
      <c r="P795" s="310">
        <f t="shared" ca="1" si="366"/>
        <v>23</v>
      </c>
      <c r="Q795" s="304">
        <f t="shared" ca="1" si="367"/>
        <v>0</v>
      </c>
      <c r="R795" s="306">
        <f t="shared" ca="1" si="368"/>
        <v>0</v>
      </c>
      <c r="S795" s="307">
        <f t="shared" ca="1" si="369"/>
        <v>0.4270000000000001</v>
      </c>
      <c r="T795" s="304">
        <f t="shared" ca="1" si="349"/>
        <v>4.1888700000000014</v>
      </c>
      <c r="U795" s="311">
        <f t="shared" ca="1" si="350"/>
        <v>0</v>
      </c>
      <c r="V795" s="306">
        <f t="shared" ca="1" si="351"/>
        <v>1.2256337836949487</v>
      </c>
      <c r="W795" s="304">
        <f t="shared" ca="1" si="352"/>
        <v>3.5530412436551382</v>
      </c>
      <c r="Y795" s="314" t="str">
        <f t="shared" ca="1" si="370"/>
        <v/>
      </c>
      <c r="Z795" s="315" t="str">
        <f t="shared" ca="1" si="371"/>
        <v/>
      </c>
      <c r="AA795" s="316" t="str">
        <f t="shared" ca="1" si="372"/>
        <v/>
      </c>
      <c r="AC795" s="310" t="e">
        <f t="shared" ca="1" si="373"/>
        <v>#N/A</v>
      </c>
      <c r="AD795" s="323" t="e">
        <f t="shared" ca="1" si="374"/>
        <v>#N/A</v>
      </c>
      <c r="AE795" s="324" t="e">
        <f t="shared" ca="1" si="353"/>
        <v>#N/A</v>
      </c>
      <c r="AG795" s="306">
        <f t="shared" ca="1" si="375"/>
        <v>1.4642094313660703</v>
      </c>
      <c r="AH795" s="304">
        <f t="shared" ca="1" si="376"/>
        <v>-8.3208887894186763</v>
      </c>
    </row>
    <row r="796" spans="1:34" x14ac:dyDescent="0.3">
      <c r="A796" s="347">
        <f t="shared" ca="1" si="354"/>
        <v>1E-4</v>
      </c>
      <c r="B796" s="304">
        <f t="shared" ca="1" si="355"/>
        <v>16.145099999999857</v>
      </c>
      <c r="D796" s="306">
        <f t="shared" ca="1" si="356"/>
        <v>-0.59249427753512007</v>
      </c>
      <c r="E796" s="307">
        <f t="shared" ca="1" si="357"/>
        <v>-1.5101814657915984</v>
      </c>
      <c r="F796" s="304">
        <f t="shared" ca="1" si="358"/>
        <v>1.6222507600652634</v>
      </c>
      <c r="G796" s="306">
        <f t="shared" ca="1" si="359"/>
        <v>3.7275600643883537</v>
      </c>
      <c r="H796" s="307">
        <f t="shared" ca="1" si="360"/>
        <v>-52.217640776856079</v>
      </c>
      <c r="I796" s="304">
        <f t="shared" ca="1" si="361"/>
        <v>52.350517784778461</v>
      </c>
      <c r="J796" s="306">
        <f t="shared" ca="1" si="362"/>
        <v>150.09587023194715</v>
      </c>
      <c r="K796" s="307">
        <f t="shared" ca="1" si="363"/>
        <v>-5.1776281696394264</v>
      </c>
      <c r="L796" s="304">
        <f t="shared" ca="1" si="348"/>
        <v>150.1851460502954</v>
      </c>
      <c r="M796" s="306">
        <f t="shared" ca="1" si="364"/>
        <v>-1.499532140422317</v>
      </c>
      <c r="N796" s="304">
        <f t="shared" ca="1" si="365"/>
        <v>-85.916862890417477</v>
      </c>
      <c r="P796" s="310">
        <f t="shared" ca="1" si="366"/>
        <v>23</v>
      </c>
      <c r="Q796" s="304">
        <f t="shared" ca="1" si="367"/>
        <v>0</v>
      </c>
      <c r="R796" s="306">
        <f t="shared" ca="1" si="368"/>
        <v>0</v>
      </c>
      <c r="S796" s="307">
        <f t="shared" ca="1" si="369"/>
        <v>0.4270000000000001</v>
      </c>
      <c r="T796" s="304">
        <f t="shared" ca="1" si="349"/>
        <v>4.1888700000000014</v>
      </c>
      <c r="U796" s="311">
        <f t="shared" ca="1" si="350"/>
        <v>0</v>
      </c>
      <c r="V796" s="306">
        <f t="shared" ca="1" si="351"/>
        <v>1.22563442369128</v>
      </c>
      <c r="W796" s="304">
        <f t="shared" ca="1" si="352"/>
        <v>3.5530629736330326</v>
      </c>
      <c r="Y796" s="314" t="str">
        <f t="shared" ca="1" si="370"/>
        <v/>
      </c>
      <c r="Z796" s="315" t="str">
        <f t="shared" ca="1" si="371"/>
        <v/>
      </c>
      <c r="AA796" s="316" t="str">
        <f t="shared" ca="1" si="372"/>
        <v/>
      </c>
      <c r="AC796" s="310" t="e">
        <f t="shared" ca="1" si="373"/>
        <v>#N/A</v>
      </c>
      <c r="AD796" s="323" t="e">
        <f t="shared" ca="1" si="374"/>
        <v>#N/A</v>
      </c>
      <c r="AE796" s="324" t="e">
        <f t="shared" ca="1" si="353"/>
        <v>#N/A</v>
      </c>
      <c r="AG796" s="306">
        <f t="shared" ca="1" si="375"/>
        <v>1.4641594721752931</v>
      </c>
      <c r="AH796" s="304">
        <f t="shared" ca="1" si="376"/>
        <v>-8.3209396806911879</v>
      </c>
    </row>
    <row r="797" spans="1:34" x14ac:dyDescent="0.3">
      <c r="A797" s="347">
        <f t="shared" ca="1" si="354"/>
        <v>1E-4</v>
      </c>
      <c r="B797" s="304">
        <f t="shared" ca="1" si="355"/>
        <v>16.145199999999857</v>
      </c>
      <c r="D797" s="306">
        <f t="shared" ca="1" si="356"/>
        <v>-0.59248682648224338</v>
      </c>
      <c r="E797" s="307">
        <f t="shared" ca="1" si="357"/>
        <v>-1.5101299145139695</v>
      </c>
      <c r="F797" s="304">
        <f t="shared" ca="1" si="358"/>
        <v>1.622200048780966</v>
      </c>
      <c r="G797" s="306">
        <f t="shared" ca="1" si="359"/>
        <v>3.7275008157057057</v>
      </c>
      <c r="H797" s="307">
        <f t="shared" ca="1" si="360"/>
        <v>-52.217791789847531</v>
      </c>
      <c r="I797" s="304">
        <f t="shared" ca="1" si="361"/>
        <v>52.350664195776496</v>
      </c>
      <c r="J797" s="306">
        <f t="shared" ca="1" si="362"/>
        <v>150.09587023194715</v>
      </c>
      <c r="K797" s="307">
        <f t="shared" ca="1" si="363"/>
        <v>-5.1828499412677616</v>
      </c>
      <c r="L797" s="304">
        <f t="shared" ca="1" si="348"/>
        <v>150.18532616137708</v>
      </c>
      <c r="M797" s="306">
        <f t="shared" ca="1" si="364"/>
        <v>-1.4995334747130813</v>
      </c>
      <c r="N797" s="304">
        <f t="shared" ca="1" si="365"/>
        <v>-85.916939339646916</v>
      </c>
      <c r="P797" s="310">
        <f t="shared" ca="1" si="366"/>
        <v>23</v>
      </c>
      <c r="Q797" s="304">
        <f t="shared" ca="1" si="367"/>
        <v>0</v>
      </c>
      <c r="R797" s="306">
        <f t="shared" ca="1" si="368"/>
        <v>0</v>
      </c>
      <c r="S797" s="307">
        <f t="shared" ca="1" si="369"/>
        <v>0.4270000000000001</v>
      </c>
      <c r="T797" s="304">
        <f t="shared" ca="1" si="349"/>
        <v>4.1888700000000014</v>
      </c>
      <c r="U797" s="311">
        <f t="shared" ca="1" si="350"/>
        <v>0</v>
      </c>
      <c r="V797" s="306">
        <f t="shared" ca="1" si="351"/>
        <v>1.2256350636897959</v>
      </c>
      <c r="W797" s="304">
        <f t="shared" ca="1" si="352"/>
        <v>3.5530847030154664</v>
      </c>
      <c r="Y797" s="314" t="str">
        <f t="shared" ca="1" si="370"/>
        <v/>
      </c>
      <c r="Z797" s="315" t="str">
        <f t="shared" ca="1" si="371"/>
        <v/>
      </c>
      <c r="AA797" s="316" t="str">
        <f t="shared" ca="1" si="372"/>
        <v/>
      </c>
      <c r="AC797" s="310" t="e">
        <f t="shared" ca="1" si="373"/>
        <v>#N/A</v>
      </c>
      <c r="AD797" s="323" t="e">
        <f t="shared" ca="1" si="374"/>
        <v>#N/A</v>
      </c>
      <c r="AE797" s="324" t="e">
        <f t="shared" ca="1" si="353"/>
        <v>#N/A</v>
      </c>
      <c r="AG797" s="306">
        <f t="shared" ca="1" si="375"/>
        <v>1.4641095143416027</v>
      </c>
      <c r="AH797" s="304">
        <f t="shared" ca="1" si="376"/>
        <v>-8.3209905705691618</v>
      </c>
    </row>
    <row r="798" spans="1:34" x14ac:dyDescent="0.3">
      <c r="A798" s="347">
        <f t="shared" ca="1" si="354"/>
        <v>1E-4</v>
      </c>
      <c r="B798" s="304">
        <f t="shared" ca="1" si="355"/>
        <v>16.145299999999857</v>
      </c>
      <c r="D798" s="306">
        <f t="shared" ca="1" si="356"/>
        <v>-0.59247937543153306</v>
      </c>
      <c r="E798" s="307">
        <f t="shared" ca="1" si="357"/>
        <v>-1.5100783646494182</v>
      </c>
      <c r="F798" s="304">
        <f t="shared" ca="1" si="358"/>
        <v>1.6221493389000905</v>
      </c>
      <c r="G798" s="306">
        <f t="shared" ca="1" si="359"/>
        <v>3.7274415677681625</v>
      </c>
      <c r="H798" s="307">
        <f t="shared" ca="1" si="360"/>
        <v>-52.217942797683996</v>
      </c>
      <c r="I798" s="304">
        <f t="shared" ca="1" si="361"/>
        <v>52.350810601778875</v>
      </c>
      <c r="J798" s="306">
        <f t="shared" ca="1" si="362"/>
        <v>150.09587023194715</v>
      </c>
      <c r="K798" s="307">
        <f t="shared" ca="1" si="363"/>
        <v>-5.188071727997138</v>
      </c>
      <c r="L798" s="304">
        <f t="shared" ca="1" si="348"/>
        <v>150.18550645431921</v>
      </c>
      <c r="M798" s="306">
        <f t="shared" ca="1" si="364"/>
        <v>-1.4995348089751743</v>
      </c>
      <c r="N798" s="304">
        <f t="shared" ca="1" si="365"/>
        <v>-85.917015787233609</v>
      </c>
      <c r="P798" s="310">
        <f t="shared" ca="1" si="366"/>
        <v>23</v>
      </c>
      <c r="Q798" s="304">
        <f t="shared" ca="1" si="367"/>
        <v>0</v>
      </c>
      <c r="R798" s="306">
        <f t="shared" ca="1" si="368"/>
        <v>0</v>
      </c>
      <c r="S798" s="307">
        <f t="shared" ca="1" si="369"/>
        <v>0.4270000000000001</v>
      </c>
      <c r="T798" s="304">
        <f t="shared" ca="1" si="349"/>
        <v>4.1888700000000014</v>
      </c>
      <c r="U798" s="311">
        <f t="shared" ca="1" si="350"/>
        <v>0</v>
      </c>
      <c r="V798" s="306">
        <f t="shared" ca="1" si="351"/>
        <v>1.225635703690497</v>
      </c>
      <c r="W798" s="304">
        <f t="shared" ca="1" si="352"/>
        <v>3.5531064318024517</v>
      </c>
      <c r="Y798" s="314" t="str">
        <f t="shared" ca="1" si="370"/>
        <v/>
      </c>
      <c r="Z798" s="315" t="str">
        <f t="shared" ca="1" si="371"/>
        <v/>
      </c>
      <c r="AA798" s="316" t="str">
        <f t="shared" ca="1" si="372"/>
        <v/>
      </c>
      <c r="AC798" s="310" t="e">
        <f t="shared" ca="1" si="373"/>
        <v>#N/A</v>
      </c>
      <c r="AD798" s="323" t="e">
        <f t="shared" ca="1" si="374"/>
        <v>#N/A</v>
      </c>
      <c r="AE798" s="324" t="e">
        <f t="shared" ca="1" si="353"/>
        <v>#N/A</v>
      </c>
      <c r="AG798" s="306">
        <f t="shared" ca="1" si="375"/>
        <v>1.4640595578649886</v>
      </c>
      <c r="AH798" s="304">
        <f t="shared" ca="1" si="376"/>
        <v>-8.3210414590526121</v>
      </c>
    </row>
    <row r="799" spans="1:34" x14ac:dyDescent="0.3">
      <c r="A799" s="347">
        <f t="shared" ca="1" si="354"/>
        <v>1E-4</v>
      </c>
      <c r="B799" s="304">
        <f t="shared" ca="1" si="355"/>
        <v>16.145399999999857</v>
      </c>
      <c r="D799" s="306">
        <f t="shared" ca="1" si="356"/>
        <v>-0.59247192438299401</v>
      </c>
      <c r="E799" s="307">
        <f t="shared" ca="1" si="357"/>
        <v>-1.5100268161979145</v>
      </c>
      <c r="F799" s="304">
        <f t="shared" ca="1" si="358"/>
        <v>1.6220986304226073</v>
      </c>
      <c r="G799" s="306">
        <f t="shared" ca="1" si="359"/>
        <v>3.7273823205757242</v>
      </c>
      <c r="H799" s="307">
        <f t="shared" ca="1" si="360"/>
        <v>-52.218093800365615</v>
      </c>
      <c r="I799" s="304">
        <f t="shared" ca="1" si="361"/>
        <v>52.350957002785748</v>
      </c>
      <c r="J799" s="306">
        <f t="shared" ca="1" si="362"/>
        <v>150.09587023194715</v>
      </c>
      <c r="K799" s="307">
        <f t="shared" ca="1" si="363"/>
        <v>-5.1932935298270406</v>
      </c>
      <c r="L799" s="304">
        <f t="shared" ca="1" si="348"/>
        <v>150.18568692912271</v>
      </c>
      <c r="M799" s="306">
        <f t="shared" ca="1" si="364"/>
        <v>-1.499536143208597</v>
      </c>
      <c r="N799" s="304">
        <f t="shared" ca="1" si="365"/>
        <v>-85.917092233177613</v>
      </c>
      <c r="P799" s="310">
        <f t="shared" ca="1" si="366"/>
        <v>23</v>
      </c>
      <c r="Q799" s="304">
        <f t="shared" ca="1" si="367"/>
        <v>0</v>
      </c>
      <c r="R799" s="306">
        <f t="shared" ca="1" si="368"/>
        <v>0</v>
      </c>
      <c r="S799" s="307">
        <f t="shared" ca="1" si="369"/>
        <v>0.4270000000000001</v>
      </c>
      <c r="T799" s="304">
        <f t="shared" ca="1" si="349"/>
        <v>4.1888700000000014</v>
      </c>
      <c r="U799" s="311">
        <f t="shared" ca="1" si="350"/>
        <v>0</v>
      </c>
      <c r="V799" s="306">
        <f t="shared" ca="1" si="351"/>
        <v>1.2256363436933833</v>
      </c>
      <c r="W799" s="304">
        <f t="shared" ca="1" si="352"/>
        <v>3.5531281599940026</v>
      </c>
      <c r="Y799" s="314" t="str">
        <f t="shared" ca="1" si="370"/>
        <v/>
      </c>
      <c r="Z799" s="315" t="str">
        <f t="shared" ca="1" si="371"/>
        <v/>
      </c>
      <c r="AA799" s="316" t="str">
        <f t="shared" ca="1" si="372"/>
        <v/>
      </c>
      <c r="AC799" s="310" t="e">
        <f t="shared" ca="1" si="373"/>
        <v>#N/A</v>
      </c>
      <c r="AD799" s="323" t="e">
        <f t="shared" ca="1" si="374"/>
        <v>#N/A</v>
      </c>
      <c r="AE799" s="324" t="e">
        <f t="shared" ca="1" si="353"/>
        <v>#N/A</v>
      </c>
      <c r="AG799" s="306">
        <f t="shared" ca="1" si="375"/>
        <v>1.464009602745417</v>
      </c>
      <c r="AH799" s="304">
        <f t="shared" ca="1" si="376"/>
        <v>-8.3210923461415707</v>
      </c>
    </row>
    <row r="800" spans="1:34" x14ac:dyDescent="0.3">
      <c r="A800" s="347">
        <f t="shared" ca="1" si="354"/>
        <v>1E-4</v>
      </c>
      <c r="B800" s="304">
        <f t="shared" ca="1" si="355"/>
        <v>16.145499999999856</v>
      </c>
      <c r="D800" s="306">
        <f t="shared" ca="1" si="356"/>
        <v>-0.59246447333663099</v>
      </c>
      <c r="E800" s="307">
        <f t="shared" ca="1" si="357"/>
        <v>-1.5099752691594244</v>
      </c>
      <c r="F800" s="304">
        <f t="shared" ca="1" si="358"/>
        <v>1.6220479233484835</v>
      </c>
      <c r="G800" s="306">
        <f t="shared" ca="1" si="359"/>
        <v>3.7273230741283907</v>
      </c>
      <c r="H800" s="307">
        <f t="shared" ca="1" si="360"/>
        <v>-52.218244797892531</v>
      </c>
      <c r="I800" s="304">
        <f t="shared" ca="1" si="361"/>
        <v>52.351103398797243</v>
      </c>
      <c r="J800" s="306">
        <f t="shared" ca="1" si="362"/>
        <v>150.09587023194715</v>
      </c>
      <c r="K800" s="307">
        <f t="shared" ca="1" si="363"/>
        <v>-5.1985153467569534</v>
      </c>
      <c r="L800" s="304">
        <f t="shared" ca="1" si="348"/>
        <v>150.18586758578846</v>
      </c>
      <c r="M800" s="306">
        <f t="shared" ca="1" si="364"/>
        <v>-1.4995374774133499</v>
      </c>
      <c r="N800" s="304">
        <f t="shared" ca="1" si="365"/>
        <v>-85.917168677478955</v>
      </c>
      <c r="P800" s="310">
        <f t="shared" ca="1" si="366"/>
        <v>23</v>
      </c>
      <c r="Q800" s="304">
        <f t="shared" ca="1" si="367"/>
        <v>0</v>
      </c>
      <c r="R800" s="306">
        <f t="shared" ca="1" si="368"/>
        <v>0</v>
      </c>
      <c r="S800" s="307">
        <f t="shared" ca="1" si="369"/>
        <v>0.4270000000000001</v>
      </c>
      <c r="T800" s="304">
        <f t="shared" ca="1" si="349"/>
        <v>4.1888700000000014</v>
      </c>
      <c r="U800" s="311">
        <f t="shared" ca="1" si="350"/>
        <v>0</v>
      </c>
      <c r="V800" s="306">
        <f t="shared" ca="1" si="351"/>
        <v>1.2256369836984544</v>
      </c>
      <c r="W800" s="304">
        <f t="shared" ca="1" si="352"/>
        <v>3.5531498875901288</v>
      </c>
      <c r="Y800" s="314" t="str">
        <f t="shared" ca="1" si="370"/>
        <v/>
      </c>
      <c r="Z800" s="315" t="str">
        <f t="shared" ca="1" si="371"/>
        <v/>
      </c>
      <c r="AA800" s="316" t="str">
        <f t="shared" ca="1" si="372"/>
        <v/>
      </c>
      <c r="AC800" s="310" t="e">
        <f t="shared" ca="1" si="373"/>
        <v>#N/A</v>
      </c>
      <c r="AD800" s="323" t="e">
        <f t="shared" ca="1" si="374"/>
        <v>#N/A</v>
      </c>
      <c r="AE800" s="324" t="e">
        <f t="shared" ca="1" si="353"/>
        <v>#N/A</v>
      </c>
      <c r="AG800" s="306">
        <f t="shared" ca="1" si="375"/>
        <v>1.4639596489828595</v>
      </c>
      <c r="AH800" s="304">
        <f t="shared" ca="1" si="376"/>
        <v>-8.3211432318360696</v>
      </c>
    </row>
    <row r="801" spans="1:34" x14ac:dyDescent="0.3">
      <c r="A801" s="347">
        <f t="shared" ca="1" si="354"/>
        <v>1E-4</v>
      </c>
      <c r="B801" s="304">
        <f t="shared" ca="1" si="355"/>
        <v>16.145599999999856</v>
      </c>
      <c r="D801" s="306">
        <f t="shared" ca="1" si="356"/>
        <v>-0.59245702229245012</v>
      </c>
      <c r="E801" s="307">
        <f t="shared" ca="1" si="357"/>
        <v>-1.5099237235339249</v>
      </c>
      <c r="F801" s="304">
        <f t="shared" ca="1" si="358"/>
        <v>1.6219972176776964</v>
      </c>
      <c r="G801" s="306">
        <f t="shared" ca="1" si="359"/>
        <v>3.7272638284261617</v>
      </c>
      <c r="H801" s="307">
        <f t="shared" ca="1" si="360"/>
        <v>-52.218395790264886</v>
      </c>
      <c r="I801" s="304">
        <f t="shared" ca="1" si="361"/>
        <v>52.351249789813494</v>
      </c>
      <c r="J801" s="306">
        <f t="shared" ca="1" si="362"/>
        <v>150.09587023194715</v>
      </c>
      <c r="K801" s="307">
        <f t="shared" ca="1" si="363"/>
        <v>-5.2037371787863611</v>
      </c>
      <c r="L801" s="304">
        <f t="shared" ca="1" si="348"/>
        <v>150.18604842431736</v>
      </c>
      <c r="M801" s="306">
        <f t="shared" ca="1" si="364"/>
        <v>-1.4995388115894339</v>
      </c>
      <c r="N801" s="304">
        <f t="shared" ca="1" si="365"/>
        <v>-85.917245120137707</v>
      </c>
      <c r="P801" s="310">
        <f t="shared" ca="1" si="366"/>
        <v>23</v>
      </c>
      <c r="Q801" s="304">
        <f t="shared" ca="1" si="367"/>
        <v>0</v>
      </c>
      <c r="R801" s="306">
        <f t="shared" ca="1" si="368"/>
        <v>0</v>
      </c>
      <c r="S801" s="307">
        <f t="shared" ca="1" si="369"/>
        <v>0.4270000000000001</v>
      </c>
      <c r="T801" s="304">
        <f t="shared" ca="1" si="349"/>
        <v>4.1888700000000014</v>
      </c>
      <c r="U801" s="311">
        <f t="shared" ca="1" si="350"/>
        <v>0</v>
      </c>
      <c r="V801" s="306">
        <f t="shared" ca="1" si="351"/>
        <v>1.2256376237057103</v>
      </c>
      <c r="W801" s="304">
        <f t="shared" ca="1" si="352"/>
        <v>3.5531716145908412</v>
      </c>
      <c r="Y801" s="314" t="str">
        <f t="shared" ca="1" si="370"/>
        <v/>
      </c>
      <c r="Z801" s="315" t="str">
        <f t="shared" ca="1" si="371"/>
        <v/>
      </c>
      <c r="AA801" s="316" t="str">
        <f t="shared" ca="1" si="372"/>
        <v/>
      </c>
      <c r="AC801" s="310" t="e">
        <f t="shared" ca="1" si="373"/>
        <v>#N/A</v>
      </c>
      <c r="AD801" s="323" t="e">
        <f t="shared" ca="1" si="374"/>
        <v>#N/A</v>
      </c>
      <c r="AE801" s="324" t="e">
        <f t="shared" ca="1" si="353"/>
        <v>#N/A</v>
      </c>
      <c r="AG801" s="306">
        <f t="shared" ca="1" si="375"/>
        <v>1.4639096965772964</v>
      </c>
      <c r="AH801" s="304">
        <f t="shared" ca="1" si="376"/>
        <v>-8.321194116136132</v>
      </c>
    </row>
    <row r="802" spans="1:34" x14ac:dyDescent="0.3">
      <c r="A802" s="347">
        <f t="shared" ca="1" si="354"/>
        <v>1E-4</v>
      </c>
      <c r="B802" s="304">
        <f t="shared" ca="1" si="355"/>
        <v>16.145699999999856</v>
      </c>
      <c r="D802" s="306">
        <f t="shared" ca="1" si="356"/>
        <v>-0.59244957125045594</v>
      </c>
      <c r="E802" s="307">
        <f t="shared" ca="1" si="357"/>
        <v>-1.5098721793213947</v>
      </c>
      <c r="F802" s="304">
        <f t="shared" ca="1" si="358"/>
        <v>1.6219465134102256</v>
      </c>
      <c r="G802" s="306">
        <f t="shared" ca="1" si="359"/>
        <v>3.7272045834690366</v>
      </c>
      <c r="H802" s="307">
        <f t="shared" ca="1" si="360"/>
        <v>-52.218546777482821</v>
      </c>
      <c r="I802" s="304">
        <f t="shared" ca="1" si="361"/>
        <v>52.351396175834644</v>
      </c>
      <c r="J802" s="306">
        <f t="shared" ca="1" si="362"/>
        <v>150.09587023194715</v>
      </c>
      <c r="K802" s="307">
        <f t="shared" ca="1" si="363"/>
        <v>-5.2089590259147487</v>
      </c>
      <c r="L802" s="304">
        <f t="shared" ca="1" si="348"/>
        <v>150.18622944471034</v>
      </c>
      <c r="M802" s="306">
        <f t="shared" ca="1" si="364"/>
        <v>-1.49954014573685</v>
      </c>
      <c r="N802" s="304">
        <f t="shared" ca="1" si="365"/>
        <v>-85.917321561153898</v>
      </c>
      <c r="P802" s="310">
        <f t="shared" ca="1" si="366"/>
        <v>23</v>
      </c>
      <c r="Q802" s="304">
        <f t="shared" ca="1" si="367"/>
        <v>0</v>
      </c>
      <c r="R802" s="306">
        <f t="shared" ca="1" si="368"/>
        <v>0</v>
      </c>
      <c r="S802" s="307">
        <f t="shared" ca="1" si="369"/>
        <v>0.4270000000000001</v>
      </c>
      <c r="T802" s="304">
        <f t="shared" ca="1" si="349"/>
        <v>4.1888700000000014</v>
      </c>
      <c r="U802" s="311">
        <f t="shared" ca="1" si="350"/>
        <v>0</v>
      </c>
      <c r="V802" s="306">
        <f t="shared" ca="1" si="351"/>
        <v>1.2256382637151519</v>
      </c>
      <c r="W802" s="304">
        <f t="shared" ca="1" si="352"/>
        <v>3.5531933409961569</v>
      </c>
      <c r="Y802" s="314" t="str">
        <f t="shared" ca="1" si="370"/>
        <v/>
      </c>
      <c r="Z802" s="315" t="str">
        <f t="shared" ca="1" si="371"/>
        <v/>
      </c>
      <c r="AA802" s="316" t="str">
        <f t="shared" ca="1" si="372"/>
        <v/>
      </c>
      <c r="AC802" s="310" t="e">
        <f t="shared" ca="1" si="373"/>
        <v>#N/A</v>
      </c>
      <c r="AD802" s="323" t="e">
        <f t="shared" ca="1" si="374"/>
        <v>#N/A</v>
      </c>
      <c r="AE802" s="324" t="e">
        <f t="shared" ca="1" si="353"/>
        <v>#N/A</v>
      </c>
      <c r="AG802" s="306">
        <f t="shared" ca="1" si="375"/>
        <v>1.4638597455287012</v>
      </c>
      <c r="AH802" s="304">
        <f t="shared" ca="1" si="376"/>
        <v>-8.3212449990417809</v>
      </c>
    </row>
    <row r="803" spans="1:34" x14ac:dyDescent="0.3">
      <c r="A803" s="347">
        <f t="shared" ca="1" si="354"/>
        <v>1E-4</v>
      </c>
      <c r="B803" s="304">
        <f t="shared" ca="1" si="355"/>
        <v>16.145799999999856</v>
      </c>
      <c r="D803" s="306">
        <f t="shared" ca="1" si="356"/>
        <v>-0.5924421202106539</v>
      </c>
      <c r="E803" s="307">
        <f t="shared" ca="1" si="357"/>
        <v>-1.5098206365217859</v>
      </c>
      <c r="F803" s="304">
        <f t="shared" ca="1" si="358"/>
        <v>1.6218958105460244</v>
      </c>
      <c r="G803" s="306">
        <f t="shared" ca="1" si="359"/>
        <v>3.7271453392570155</v>
      </c>
      <c r="H803" s="307">
        <f t="shared" ca="1" si="360"/>
        <v>-52.218697759546473</v>
      </c>
      <c r="I803" s="304">
        <f t="shared" ca="1" si="361"/>
        <v>52.351542556860814</v>
      </c>
      <c r="J803" s="306">
        <f t="shared" ca="1" si="362"/>
        <v>150.09587023194715</v>
      </c>
      <c r="K803" s="307">
        <f t="shared" ca="1" si="363"/>
        <v>-5.2141808881416001</v>
      </c>
      <c r="L803" s="304">
        <f t="shared" ca="1" si="348"/>
        <v>150.18641064696826</v>
      </c>
      <c r="M803" s="306">
        <f t="shared" ca="1" si="364"/>
        <v>-1.499541479855599</v>
      </c>
      <c r="N803" s="304">
        <f t="shared" ca="1" si="365"/>
        <v>-85.917398000527584</v>
      </c>
      <c r="P803" s="310">
        <f t="shared" ca="1" si="366"/>
        <v>23</v>
      </c>
      <c r="Q803" s="304">
        <f t="shared" ca="1" si="367"/>
        <v>0</v>
      </c>
      <c r="R803" s="306">
        <f t="shared" ca="1" si="368"/>
        <v>0</v>
      </c>
      <c r="S803" s="307">
        <f t="shared" ca="1" si="369"/>
        <v>0.4270000000000001</v>
      </c>
      <c r="T803" s="304">
        <f t="shared" ca="1" si="349"/>
        <v>4.1888700000000014</v>
      </c>
      <c r="U803" s="311">
        <f t="shared" ca="1" si="350"/>
        <v>0</v>
      </c>
      <c r="V803" s="306">
        <f t="shared" ca="1" si="351"/>
        <v>1.2256389037267774</v>
      </c>
      <c r="W803" s="304">
        <f t="shared" ca="1" si="352"/>
        <v>3.5532150668060796</v>
      </c>
      <c r="Y803" s="314" t="str">
        <f t="shared" ca="1" si="370"/>
        <v/>
      </c>
      <c r="Z803" s="315" t="str">
        <f t="shared" ca="1" si="371"/>
        <v/>
      </c>
      <c r="AA803" s="316" t="str">
        <f t="shared" ca="1" si="372"/>
        <v/>
      </c>
      <c r="AC803" s="310" t="e">
        <f t="shared" ca="1" si="373"/>
        <v>#N/A</v>
      </c>
      <c r="AD803" s="323" t="e">
        <f t="shared" ca="1" si="374"/>
        <v>#N/A</v>
      </c>
      <c r="AE803" s="324" t="e">
        <f t="shared" ca="1" si="353"/>
        <v>#N/A</v>
      </c>
      <c r="AG803" s="306">
        <f t="shared" ca="1" si="375"/>
        <v>1.463809795837042</v>
      </c>
      <c r="AH803" s="304">
        <f t="shared" ca="1" si="376"/>
        <v>-8.321295880553059</v>
      </c>
    </row>
    <row r="804" spans="1:34" x14ac:dyDescent="0.3">
      <c r="A804" s="347">
        <f t="shared" ca="1" si="354"/>
        <v>1E-4</v>
      </c>
      <c r="B804" s="304">
        <f t="shared" ca="1" si="355"/>
        <v>16.145899999999855</v>
      </c>
      <c r="D804" s="306">
        <f t="shared" ca="1" si="356"/>
        <v>-0.5924346691730471</v>
      </c>
      <c r="E804" s="307">
        <f t="shared" ca="1" si="357"/>
        <v>-1.5097690951350948</v>
      </c>
      <c r="F804" s="304">
        <f t="shared" ca="1" si="358"/>
        <v>1.6218451090850878</v>
      </c>
      <c r="G804" s="306">
        <f t="shared" ca="1" si="359"/>
        <v>3.7270860957900984</v>
      </c>
      <c r="H804" s="307">
        <f t="shared" ca="1" si="360"/>
        <v>-52.218848736455989</v>
      </c>
      <c r="I804" s="304">
        <f t="shared" ca="1" si="361"/>
        <v>52.351688932892159</v>
      </c>
      <c r="J804" s="306">
        <f t="shared" ca="1" si="362"/>
        <v>150.09587023194715</v>
      </c>
      <c r="K804" s="307">
        <f t="shared" ca="1" si="363"/>
        <v>-5.2194027654664001</v>
      </c>
      <c r="L804" s="304">
        <f t="shared" ca="1" si="348"/>
        <v>150.18659203109203</v>
      </c>
      <c r="M804" s="306">
        <f t="shared" ca="1" si="364"/>
        <v>-1.4995428139456817</v>
      </c>
      <c r="N804" s="304">
        <f t="shared" ca="1" si="365"/>
        <v>-85.917474438258807</v>
      </c>
      <c r="P804" s="310">
        <f t="shared" ca="1" si="366"/>
        <v>23</v>
      </c>
      <c r="Q804" s="304">
        <f t="shared" ca="1" si="367"/>
        <v>0</v>
      </c>
      <c r="R804" s="306">
        <f t="shared" ca="1" si="368"/>
        <v>0</v>
      </c>
      <c r="S804" s="307">
        <f t="shared" ca="1" si="369"/>
        <v>0.4270000000000001</v>
      </c>
      <c r="T804" s="304">
        <f t="shared" ca="1" si="349"/>
        <v>4.1888700000000014</v>
      </c>
      <c r="U804" s="311">
        <f t="shared" ca="1" si="350"/>
        <v>0</v>
      </c>
      <c r="V804" s="306">
        <f t="shared" ca="1" si="351"/>
        <v>1.225639543740588</v>
      </c>
      <c r="W804" s="304">
        <f t="shared" ca="1" si="352"/>
        <v>3.5532367920206269</v>
      </c>
      <c r="Y804" s="314" t="str">
        <f t="shared" ca="1" si="370"/>
        <v/>
      </c>
      <c r="Z804" s="315" t="str">
        <f t="shared" ca="1" si="371"/>
        <v/>
      </c>
      <c r="AA804" s="316" t="str">
        <f t="shared" ca="1" si="372"/>
        <v/>
      </c>
      <c r="AC804" s="310" t="e">
        <f t="shared" ca="1" si="373"/>
        <v>#N/A</v>
      </c>
      <c r="AD804" s="323" t="e">
        <f t="shared" ca="1" si="374"/>
        <v>#N/A</v>
      </c>
      <c r="AE804" s="324" t="e">
        <f t="shared" ca="1" si="353"/>
        <v>#N/A</v>
      </c>
      <c r="AG804" s="306">
        <f t="shared" ca="1" si="375"/>
        <v>1.4637598475023044</v>
      </c>
      <c r="AH804" s="304">
        <f t="shared" ca="1" si="376"/>
        <v>-8.3213467606699734</v>
      </c>
    </row>
    <row r="805" spans="1:34" x14ac:dyDescent="0.3">
      <c r="A805" s="347">
        <f t="shared" ca="1" si="354"/>
        <v>1E-4</v>
      </c>
      <c r="B805" s="304">
        <f t="shared" ca="1" si="355"/>
        <v>16.145999999999855</v>
      </c>
      <c r="D805" s="306">
        <f t="shared" ca="1" si="356"/>
        <v>-0.59242721813764321</v>
      </c>
      <c r="E805" s="307">
        <f t="shared" ca="1" si="357"/>
        <v>-1.5097175551612771</v>
      </c>
      <c r="F805" s="304">
        <f t="shared" ca="1" si="358"/>
        <v>1.6217944090273744</v>
      </c>
      <c r="G805" s="306">
        <f t="shared" ca="1" si="359"/>
        <v>3.7270268530682849</v>
      </c>
      <c r="H805" s="307">
        <f t="shared" ca="1" si="360"/>
        <v>-52.218999708211506</v>
      </c>
      <c r="I805" s="304">
        <f t="shared" ca="1" si="361"/>
        <v>52.351835303928794</v>
      </c>
      <c r="J805" s="306">
        <f t="shared" ca="1" si="362"/>
        <v>150.09587023194715</v>
      </c>
      <c r="K805" s="307">
        <f t="shared" ca="1" si="363"/>
        <v>-5.2246246578886337</v>
      </c>
      <c r="L805" s="304">
        <f t="shared" ca="1" si="348"/>
        <v>150.18677359708255</v>
      </c>
      <c r="M805" s="306">
        <f t="shared" ca="1" si="364"/>
        <v>-1.4995441480070986</v>
      </c>
      <c r="N805" s="304">
        <f t="shared" ca="1" si="365"/>
        <v>-85.917550874347612</v>
      </c>
      <c r="P805" s="310">
        <f t="shared" ca="1" si="366"/>
        <v>23</v>
      </c>
      <c r="Q805" s="304">
        <f t="shared" ca="1" si="367"/>
        <v>0</v>
      </c>
      <c r="R805" s="306">
        <f t="shared" ca="1" si="368"/>
        <v>0</v>
      </c>
      <c r="S805" s="307">
        <f t="shared" ca="1" si="369"/>
        <v>0.4270000000000001</v>
      </c>
      <c r="T805" s="304">
        <f t="shared" ca="1" si="349"/>
        <v>4.1888700000000014</v>
      </c>
      <c r="U805" s="311">
        <f t="shared" ca="1" si="350"/>
        <v>0</v>
      </c>
      <c r="V805" s="306">
        <f t="shared" ca="1" si="351"/>
        <v>1.2256401837565831</v>
      </c>
      <c r="W805" s="304">
        <f t="shared" ca="1" si="352"/>
        <v>3.5532585166398065</v>
      </c>
      <c r="Y805" s="314" t="str">
        <f t="shared" ca="1" si="370"/>
        <v/>
      </c>
      <c r="Z805" s="315" t="str">
        <f t="shared" ca="1" si="371"/>
        <v/>
      </c>
      <c r="AA805" s="316" t="str">
        <f t="shared" ca="1" si="372"/>
        <v/>
      </c>
      <c r="AC805" s="310" t="e">
        <f t="shared" ca="1" si="373"/>
        <v>#N/A</v>
      </c>
      <c r="AD805" s="323" t="e">
        <f t="shared" ca="1" si="374"/>
        <v>#N/A</v>
      </c>
      <c r="AE805" s="324" t="e">
        <f t="shared" ca="1" si="353"/>
        <v>#N/A</v>
      </c>
      <c r="AG805" s="306">
        <f t="shared" ca="1" si="375"/>
        <v>1.4637099005244512</v>
      </c>
      <c r="AH805" s="304">
        <f t="shared" ca="1" si="376"/>
        <v>-8.3213976393925666</v>
      </c>
    </row>
    <row r="806" spans="1:34" x14ac:dyDescent="0.3">
      <c r="A806" s="347">
        <f t="shared" ca="1" si="354"/>
        <v>1E-4</v>
      </c>
      <c r="B806" s="304">
        <f t="shared" ca="1" si="355"/>
        <v>16.146099999999855</v>
      </c>
      <c r="D806" s="306">
        <f t="shared" ca="1" si="356"/>
        <v>-0.59241976710444777</v>
      </c>
      <c r="E806" s="307">
        <f t="shared" ca="1" si="357"/>
        <v>-1.5096660166003169</v>
      </c>
      <c r="F806" s="304">
        <f t="shared" ca="1" si="358"/>
        <v>1.6217437103728678</v>
      </c>
      <c r="G806" s="306">
        <f t="shared" ca="1" si="359"/>
        <v>3.7269676110915744</v>
      </c>
      <c r="H806" s="307">
        <f t="shared" ca="1" si="360"/>
        <v>-52.219150674813164</v>
      </c>
      <c r="I806" s="304">
        <f t="shared" ca="1" si="361"/>
        <v>52.351981669970868</v>
      </c>
      <c r="J806" s="306">
        <f t="shared" ca="1" si="362"/>
        <v>150.09587023194715</v>
      </c>
      <c r="K806" s="307">
        <f t="shared" ca="1" si="363"/>
        <v>-5.2298465654077848</v>
      </c>
      <c r="L806" s="304">
        <f t="shared" ca="1" si="348"/>
        <v>150.18695534494074</v>
      </c>
      <c r="M806" s="306">
        <f t="shared" ca="1" si="364"/>
        <v>-1.4995454820398508</v>
      </c>
      <c r="N806" s="304">
        <f t="shared" ca="1" si="365"/>
        <v>-85.917627308794039</v>
      </c>
      <c r="P806" s="310">
        <f t="shared" ca="1" si="366"/>
        <v>23</v>
      </c>
      <c r="Q806" s="304">
        <f t="shared" ca="1" si="367"/>
        <v>0</v>
      </c>
      <c r="R806" s="306">
        <f t="shared" ca="1" si="368"/>
        <v>0</v>
      </c>
      <c r="S806" s="307">
        <f t="shared" ca="1" si="369"/>
        <v>0.4270000000000001</v>
      </c>
      <c r="T806" s="304">
        <f t="shared" ca="1" si="349"/>
        <v>4.1888700000000014</v>
      </c>
      <c r="U806" s="311">
        <f t="shared" ca="1" si="350"/>
        <v>0</v>
      </c>
      <c r="V806" s="306">
        <f t="shared" ca="1" si="351"/>
        <v>1.2256408237747638</v>
      </c>
      <c r="W806" s="304">
        <f t="shared" ca="1" si="352"/>
        <v>3.5532802406636352</v>
      </c>
      <c r="Y806" s="314" t="str">
        <f t="shared" ca="1" si="370"/>
        <v/>
      </c>
      <c r="Z806" s="315" t="str">
        <f t="shared" ca="1" si="371"/>
        <v/>
      </c>
      <c r="AA806" s="316" t="str">
        <f t="shared" ca="1" si="372"/>
        <v/>
      </c>
      <c r="AC806" s="310" t="e">
        <f t="shared" ca="1" si="373"/>
        <v>#N/A</v>
      </c>
      <c r="AD806" s="323" t="e">
        <f t="shared" ca="1" si="374"/>
        <v>#N/A</v>
      </c>
      <c r="AE806" s="324" t="e">
        <f t="shared" ca="1" si="353"/>
        <v>#N/A</v>
      </c>
      <c r="AG806" s="306">
        <f t="shared" ca="1" si="375"/>
        <v>1.4636599549034646</v>
      </c>
      <c r="AH806" s="304">
        <f t="shared" ca="1" si="376"/>
        <v>-8.3214485167208565</v>
      </c>
    </row>
    <row r="807" spans="1:34" x14ac:dyDescent="0.3">
      <c r="A807" s="347">
        <f t="shared" ca="1" si="354"/>
        <v>1E-4</v>
      </c>
      <c r="B807" s="304">
        <f t="shared" ca="1" si="355"/>
        <v>16.146199999999855</v>
      </c>
      <c r="D807" s="306">
        <f t="shared" ca="1" si="356"/>
        <v>-0.59241231607346445</v>
      </c>
      <c r="E807" s="307">
        <f t="shared" ca="1" si="357"/>
        <v>-1.5096144794521731</v>
      </c>
      <c r="F807" s="304">
        <f t="shared" ca="1" si="358"/>
        <v>1.6216930131215284</v>
      </c>
      <c r="G807" s="306">
        <f t="shared" ca="1" si="359"/>
        <v>3.726908369859967</v>
      </c>
      <c r="H807" s="307">
        <f t="shared" ca="1" si="360"/>
        <v>-52.219301636261108</v>
      </c>
      <c r="I807" s="304">
        <f t="shared" ca="1" si="361"/>
        <v>52.352128031018516</v>
      </c>
      <c r="J807" s="306">
        <f t="shared" ca="1" si="362"/>
        <v>150.09587023194715</v>
      </c>
      <c r="K807" s="307">
        <f t="shared" ca="1" si="363"/>
        <v>-5.2350684880233382</v>
      </c>
      <c r="L807" s="304">
        <f t="shared" ca="1" si="348"/>
        <v>150.18713727466746</v>
      </c>
      <c r="M807" s="306">
        <f t="shared" ca="1" si="364"/>
        <v>-1.4995468160439394</v>
      </c>
      <c r="N807" s="304">
        <f t="shared" ca="1" si="365"/>
        <v>-85.917703741598174</v>
      </c>
      <c r="P807" s="310">
        <f t="shared" ca="1" si="366"/>
        <v>23</v>
      </c>
      <c r="Q807" s="304">
        <f t="shared" ca="1" si="367"/>
        <v>0</v>
      </c>
      <c r="R807" s="306">
        <f t="shared" ca="1" si="368"/>
        <v>0</v>
      </c>
      <c r="S807" s="307">
        <f t="shared" ca="1" si="369"/>
        <v>0.4270000000000001</v>
      </c>
      <c r="T807" s="304">
        <f t="shared" ca="1" si="349"/>
        <v>4.1888700000000014</v>
      </c>
      <c r="U807" s="311">
        <f t="shared" ca="1" si="350"/>
        <v>0</v>
      </c>
      <c r="V807" s="306">
        <f t="shared" ca="1" si="351"/>
        <v>1.2256414637951278</v>
      </c>
      <c r="W807" s="304">
        <f t="shared" ca="1" si="352"/>
        <v>3.5533019640921184</v>
      </c>
      <c r="Y807" s="314" t="str">
        <f t="shared" ca="1" si="370"/>
        <v/>
      </c>
      <c r="Z807" s="315" t="str">
        <f t="shared" ca="1" si="371"/>
        <v/>
      </c>
      <c r="AA807" s="316" t="str">
        <f t="shared" ca="1" si="372"/>
        <v/>
      </c>
      <c r="AC807" s="310" t="e">
        <f t="shared" ca="1" si="373"/>
        <v>#N/A</v>
      </c>
      <c r="AD807" s="323" t="e">
        <f t="shared" ca="1" si="374"/>
        <v>#N/A</v>
      </c>
      <c r="AE807" s="324" t="e">
        <f t="shared" ca="1" si="353"/>
        <v>#N/A</v>
      </c>
      <c r="AG807" s="306">
        <f t="shared" ca="1" si="375"/>
        <v>1.4636100106393126</v>
      </c>
      <c r="AH807" s="304">
        <f t="shared" ca="1" si="376"/>
        <v>-8.3214993926548821</v>
      </c>
    </row>
    <row r="808" spans="1:34" x14ac:dyDescent="0.3">
      <c r="A808" s="347">
        <f t="shared" ca="1" si="354"/>
        <v>1E-4</v>
      </c>
      <c r="B808" s="304">
        <f t="shared" ca="1" si="355"/>
        <v>16.146299999999854</v>
      </c>
      <c r="D808" s="306">
        <f t="shared" ca="1" si="356"/>
        <v>-0.59240486504469669</v>
      </c>
      <c r="E808" s="307">
        <f t="shared" ca="1" si="357"/>
        <v>-1.5095629437168316</v>
      </c>
      <c r="F808" s="304">
        <f t="shared" ca="1" si="358"/>
        <v>1.621642317273341</v>
      </c>
      <c r="G808" s="306">
        <f t="shared" ca="1" si="359"/>
        <v>3.7268491293734627</v>
      </c>
      <c r="H808" s="307">
        <f t="shared" ca="1" si="360"/>
        <v>-52.219452592555477</v>
      </c>
      <c r="I808" s="304">
        <f t="shared" ca="1" si="361"/>
        <v>52.352274387071866</v>
      </c>
      <c r="J808" s="306">
        <f t="shared" ca="1" si="362"/>
        <v>150.09587023194715</v>
      </c>
      <c r="K808" s="307">
        <f t="shared" ca="1" si="363"/>
        <v>-5.2402904257347789</v>
      </c>
      <c r="L808" s="304">
        <f t="shared" ca="1" si="348"/>
        <v>150.18731938626365</v>
      </c>
      <c r="M808" s="306">
        <f t="shared" ca="1" si="364"/>
        <v>-1.4995481500193646</v>
      </c>
      <c r="N808" s="304">
        <f t="shared" ca="1" si="365"/>
        <v>-85.917780172760004</v>
      </c>
      <c r="P808" s="310">
        <f t="shared" ca="1" si="366"/>
        <v>23</v>
      </c>
      <c r="Q808" s="304">
        <f t="shared" ca="1" si="367"/>
        <v>0</v>
      </c>
      <c r="R808" s="306">
        <f t="shared" ca="1" si="368"/>
        <v>0</v>
      </c>
      <c r="S808" s="307">
        <f t="shared" ca="1" si="369"/>
        <v>0.4270000000000001</v>
      </c>
      <c r="T808" s="304">
        <f t="shared" ca="1" si="349"/>
        <v>4.1888700000000014</v>
      </c>
      <c r="U808" s="311">
        <f t="shared" ca="1" si="350"/>
        <v>0</v>
      </c>
      <c r="V808" s="306">
        <f t="shared" ca="1" si="351"/>
        <v>1.2256421038176772</v>
      </c>
      <c r="W808" s="304">
        <f t="shared" ca="1" si="352"/>
        <v>3.5533236869252733</v>
      </c>
      <c r="Y808" s="314" t="str">
        <f t="shared" ca="1" si="370"/>
        <v/>
      </c>
      <c r="Z808" s="315" t="str">
        <f t="shared" ca="1" si="371"/>
        <v/>
      </c>
      <c r="AA808" s="316" t="str">
        <f t="shared" ca="1" si="372"/>
        <v/>
      </c>
      <c r="AC808" s="310" t="e">
        <f t="shared" ca="1" si="373"/>
        <v>#N/A</v>
      </c>
      <c r="AD808" s="323" t="e">
        <f t="shared" ca="1" si="374"/>
        <v>#N/A</v>
      </c>
      <c r="AE808" s="324" t="e">
        <f t="shared" ca="1" si="353"/>
        <v>#N/A</v>
      </c>
      <c r="AG808" s="306">
        <f t="shared" ca="1" si="375"/>
        <v>1.4635600677319776</v>
      </c>
      <c r="AH808" s="304">
        <f t="shared" ca="1" si="376"/>
        <v>-8.3215502671946542</v>
      </c>
    </row>
    <row r="809" spans="1:34" x14ac:dyDescent="0.3">
      <c r="A809" s="347">
        <f t="shared" ca="1" si="354"/>
        <v>1E-4</v>
      </c>
      <c r="B809" s="304">
        <f t="shared" ca="1" si="355"/>
        <v>16.146399999999854</v>
      </c>
      <c r="D809" s="306">
        <f t="shared" ca="1" si="356"/>
        <v>-0.59239741401815371</v>
      </c>
      <c r="E809" s="307">
        <f t="shared" ca="1" si="357"/>
        <v>-1.5095114093942517</v>
      </c>
      <c r="F809" s="304">
        <f t="shared" ca="1" si="358"/>
        <v>1.6215916228282681</v>
      </c>
      <c r="G809" s="306">
        <f t="shared" ca="1" si="359"/>
        <v>3.726789889632061</v>
      </c>
      <c r="H809" s="307">
        <f t="shared" ca="1" si="360"/>
        <v>-52.219603543696415</v>
      </c>
      <c r="I809" s="304">
        <f t="shared" ca="1" si="361"/>
        <v>52.352420738131059</v>
      </c>
      <c r="J809" s="306">
        <f t="shared" ca="1" si="362"/>
        <v>150.09587023194715</v>
      </c>
      <c r="K809" s="307">
        <f t="shared" ca="1" si="363"/>
        <v>-5.2455123785415916</v>
      </c>
      <c r="L809" s="304">
        <f t="shared" ca="1" si="348"/>
        <v>150.18750167973016</v>
      </c>
      <c r="M809" s="306">
        <f t="shared" ca="1" si="364"/>
        <v>-1.4995494839661279</v>
      </c>
      <c r="N809" s="304">
        <f t="shared" ca="1" si="365"/>
        <v>-85.917856602279642</v>
      </c>
      <c r="P809" s="310">
        <f t="shared" ca="1" si="366"/>
        <v>23</v>
      </c>
      <c r="Q809" s="304">
        <f t="shared" ca="1" si="367"/>
        <v>0</v>
      </c>
      <c r="R809" s="306">
        <f t="shared" ca="1" si="368"/>
        <v>0</v>
      </c>
      <c r="S809" s="307">
        <f t="shared" ca="1" si="369"/>
        <v>0.4270000000000001</v>
      </c>
      <c r="T809" s="304">
        <f t="shared" ca="1" si="349"/>
        <v>4.1888700000000014</v>
      </c>
      <c r="U809" s="311">
        <f t="shared" ca="1" si="350"/>
        <v>0</v>
      </c>
      <c r="V809" s="306">
        <f t="shared" ca="1" si="351"/>
        <v>1.2256427438424102</v>
      </c>
      <c r="W809" s="304">
        <f t="shared" ca="1" si="352"/>
        <v>3.5533454091631049</v>
      </c>
      <c r="Y809" s="314" t="str">
        <f t="shared" ca="1" si="370"/>
        <v/>
      </c>
      <c r="Z809" s="315" t="str">
        <f t="shared" ca="1" si="371"/>
        <v/>
      </c>
      <c r="AA809" s="316" t="str">
        <f t="shared" ca="1" si="372"/>
        <v/>
      </c>
      <c r="AC809" s="310" t="e">
        <f t="shared" ca="1" si="373"/>
        <v>#N/A</v>
      </c>
      <c r="AD809" s="323" t="e">
        <f t="shared" ca="1" si="374"/>
        <v>#N/A</v>
      </c>
      <c r="AE809" s="324" t="e">
        <f t="shared" ca="1" si="353"/>
        <v>#N/A</v>
      </c>
      <c r="AG809" s="306">
        <f t="shared" ca="1" si="375"/>
        <v>1.4635101261814238</v>
      </c>
      <c r="AH809" s="304">
        <f t="shared" ca="1" si="376"/>
        <v>-8.321601140340217</v>
      </c>
    </row>
    <row r="810" spans="1:34" x14ac:dyDescent="0.3">
      <c r="A810" s="347">
        <f t="shared" ca="1" si="354"/>
        <v>1E-4</v>
      </c>
      <c r="B810" s="304">
        <f t="shared" ca="1" si="355"/>
        <v>16.146499999999854</v>
      </c>
      <c r="D810" s="306">
        <f t="shared" ca="1" si="356"/>
        <v>-0.5923899629938354</v>
      </c>
      <c r="E810" s="307">
        <f t="shared" ca="1" si="357"/>
        <v>-1.5094598764844243</v>
      </c>
      <c r="F810" s="304">
        <f t="shared" ca="1" si="358"/>
        <v>1.6215409297862977</v>
      </c>
      <c r="G810" s="306">
        <f t="shared" ca="1" si="359"/>
        <v>3.7267306506357616</v>
      </c>
      <c r="H810" s="307">
        <f t="shared" ca="1" si="360"/>
        <v>-52.219754489684064</v>
      </c>
      <c r="I810" s="304">
        <f t="shared" ca="1" si="361"/>
        <v>52.352567084196238</v>
      </c>
      <c r="J810" s="306">
        <f t="shared" ca="1" si="362"/>
        <v>150.09587023194715</v>
      </c>
      <c r="K810" s="307">
        <f t="shared" ca="1" si="363"/>
        <v>-5.2507343464432603</v>
      </c>
      <c r="L810" s="304">
        <f t="shared" ca="1" si="348"/>
        <v>150.1876841550679</v>
      </c>
      <c r="M810" s="306">
        <f t="shared" ca="1" si="364"/>
        <v>-1.4995508178842294</v>
      </c>
      <c r="N810" s="304">
        <f t="shared" ca="1" si="365"/>
        <v>-85.917933030157073</v>
      </c>
      <c r="P810" s="310">
        <f t="shared" ca="1" si="366"/>
        <v>23</v>
      </c>
      <c r="Q810" s="304">
        <f t="shared" ca="1" si="367"/>
        <v>0</v>
      </c>
      <c r="R810" s="306">
        <f t="shared" ca="1" si="368"/>
        <v>0</v>
      </c>
      <c r="S810" s="307">
        <f t="shared" ca="1" si="369"/>
        <v>0.4270000000000001</v>
      </c>
      <c r="T810" s="304">
        <f t="shared" ca="1" si="349"/>
        <v>4.1888700000000014</v>
      </c>
      <c r="U810" s="311">
        <f t="shared" ca="1" si="350"/>
        <v>0</v>
      </c>
      <c r="V810" s="306">
        <f t="shared" ca="1" si="351"/>
        <v>1.2256433838693284</v>
      </c>
      <c r="W810" s="304">
        <f t="shared" ca="1" si="352"/>
        <v>3.553367130805634</v>
      </c>
      <c r="Y810" s="314" t="str">
        <f t="shared" ca="1" si="370"/>
        <v/>
      </c>
      <c r="Z810" s="315" t="str">
        <f t="shared" ca="1" si="371"/>
        <v/>
      </c>
      <c r="AA810" s="316" t="str">
        <f t="shared" ca="1" si="372"/>
        <v/>
      </c>
      <c r="AC810" s="310" t="e">
        <f t="shared" ca="1" si="373"/>
        <v>#N/A</v>
      </c>
      <c r="AD810" s="323" t="e">
        <f t="shared" ca="1" si="374"/>
        <v>#N/A</v>
      </c>
      <c r="AE810" s="324" t="e">
        <f t="shared" ca="1" si="353"/>
        <v>#N/A</v>
      </c>
      <c r="AG810" s="306">
        <f t="shared" ca="1" si="375"/>
        <v>1.4634601859876444</v>
      </c>
      <c r="AH810" s="304">
        <f t="shared" ca="1" si="376"/>
        <v>-8.3216520120915778</v>
      </c>
    </row>
    <row r="811" spans="1:34" x14ac:dyDescent="0.3">
      <c r="A811" s="347">
        <f t="shared" ca="1" si="354"/>
        <v>1E-4</v>
      </c>
      <c r="B811" s="304">
        <f t="shared" ca="1" si="355"/>
        <v>16.146599999999854</v>
      </c>
      <c r="D811" s="306">
        <f t="shared" ca="1" si="356"/>
        <v>-0.59238251197175329</v>
      </c>
      <c r="E811" s="307">
        <f t="shared" ca="1" si="357"/>
        <v>-1.5094083449872979</v>
      </c>
      <c r="F811" s="304">
        <f t="shared" ca="1" si="358"/>
        <v>1.6214902381473835</v>
      </c>
      <c r="G811" s="306">
        <f t="shared" ca="1" si="359"/>
        <v>3.7266714123845643</v>
      </c>
      <c r="H811" s="307">
        <f t="shared" ca="1" si="360"/>
        <v>-52.219905430518565</v>
      </c>
      <c r="I811" s="304">
        <f t="shared" ca="1" si="361"/>
        <v>52.352713425267524</v>
      </c>
      <c r="J811" s="306">
        <f t="shared" ca="1" si="362"/>
        <v>150.09587023194715</v>
      </c>
      <c r="K811" s="307">
        <f t="shared" ca="1" si="363"/>
        <v>-5.2559563294392708</v>
      </c>
      <c r="L811" s="304">
        <f t="shared" ca="1" si="348"/>
        <v>150.18786681227778</v>
      </c>
      <c r="M811" s="306">
        <f t="shared" ca="1" si="364"/>
        <v>-1.4995521517736705</v>
      </c>
      <c r="N811" s="304">
        <f t="shared" ca="1" si="365"/>
        <v>-85.918009456392383</v>
      </c>
      <c r="P811" s="310">
        <f t="shared" ca="1" si="366"/>
        <v>23</v>
      </c>
      <c r="Q811" s="304">
        <f t="shared" ca="1" si="367"/>
        <v>0</v>
      </c>
      <c r="R811" s="306">
        <f t="shared" ca="1" si="368"/>
        <v>0</v>
      </c>
      <c r="S811" s="307">
        <f t="shared" ca="1" si="369"/>
        <v>0.4270000000000001</v>
      </c>
      <c r="T811" s="304">
        <f t="shared" ca="1" si="349"/>
        <v>4.1888700000000014</v>
      </c>
      <c r="U811" s="311">
        <f t="shared" ca="1" si="350"/>
        <v>0</v>
      </c>
      <c r="V811" s="306">
        <f t="shared" ca="1" si="351"/>
        <v>1.2256440238984305</v>
      </c>
      <c r="W811" s="304">
        <f t="shared" ca="1" si="352"/>
        <v>3.5533888518528651</v>
      </c>
      <c r="Y811" s="314" t="str">
        <f t="shared" ca="1" si="370"/>
        <v/>
      </c>
      <c r="Z811" s="315" t="str">
        <f t="shared" ca="1" si="371"/>
        <v/>
      </c>
      <c r="AA811" s="316" t="str">
        <f t="shared" ca="1" si="372"/>
        <v/>
      </c>
      <c r="AC811" s="310" t="e">
        <f t="shared" ca="1" si="373"/>
        <v>#N/A</v>
      </c>
      <c r="AD811" s="323" t="e">
        <f t="shared" ca="1" si="374"/>
        <v>#N/A</v>
      </c>
      <c r="AE811" s="324" t="e">
        <f t="shared" ca="1" si="353"/>
        <v>#N/A</v>
      </c>
      <c r="AG811" s="306">
        <f t="shared" ca="1" si="375"/>
        <v>1.4634102471505877</v>
      </c>
      <c r="AH811" s="304">
        <f t="shared" ca="1" si="376"/>
        <v>-8.3217028824487898</v>
      </c>
    </row>
    <row r="812" spans="1:34" x14ac:dyDescent="0.3">
      <c r="A812" s="347">
        <f t="shared" ca="1" si="354"/>
        <v>1E-4</v>
      </c>
      <c r="B812" s="304">
        <f t="shared" ca="1" si="355"/>
        <v>16.146699999999854</v>
      </c>
      <c r="D812" s="306">
        <f t="shared" ca="1" si="356"/>
        <v>-0.59237506095190706</v>
      </c>
      <c r="E812" s="307">
        <f t="shared" ca="1" si="357"/>
        <v>-1.5093568149028602</v>
      </c>
      <c r="F812" s="304">
        <f t="shared" ca="1" si="358"/>
        <v>1.6214395479115102</v>
      </c>
      <c r="G812" s="306">
        <f t="shared" ca="1" si="359"/>
        <v>3.7266121748784693</v>
      </c>
      <c r="H812" s="307">
        <f t="shared" ca="1" si="360"/>
        <v>-52.220056366200055</v>
      </c>
      <c r="I812" s="304">
        <f t="shared" ca="1" si="361"/>
        <v>52.352859761345066</v>
      </c>
      <c r="J812" s="306">
        <f t="shared" ca="1" si="362"/>
        <v>150.09587023194715</v>
      </c>
      <c r="K812" s="307">
        <f t="shared" ca="1" si="363"/>
        <v>-5.2611783275291071</v>
      </c>
      <c r="L812" s="304">
        <f t="shared" ca="1" si="348"/>
        <v>150.18804965136067</v>
      </c>
      <c r="M812" s="306">
        <f t="shared" ca="1" si="364"/>
        <v>-1.4995534856344517</v>
      </c>
      <c r="N812" s="304">
        <f t="shared" ca="1" si="365"/>
        <v>-85.918085880985601</v>
      </c>
      <c r="P812" s="310">
        <f t="shared" ca="1" si="366"/>
        <v>23</v>
      </c>
      <c r="Q812" s="304">
        <f t="shared" ca="1" si="367"/>
        <v>0</v>
      </c>
      <c r="R812" s="306">
        <f t="shared" ca="1" si="368"/>
        <v>0</v>
      </c>
      <c r="S812" s="307">
        <f t="shared" ca="1" si="369"/>
        <v>0.4270000000000001</v>
      </c>
      <c r="T812" s="304">
        <f t="shared" ca="1" si="349"/>
        <v>4.1888700000000014</v>
      </c>
      <c r="U812" s="311">
        <f t="shared" ca="1" si="350"/>
        <v>0</v>
      </c>
      <c r="V812" s="306">
        <f t="shared" ca="1" si="351"/>
        <v>1.2256446639297172</v>
      </c>
      <c r="W812" s="304">
        <f t="shared" ca="1" si="352"/>
        <v>3.5534105723048128</v>
      </c>
      <c r="Y812" s="314" t="str">
        <f t="shared" ca="1" si="370"/>
        <v/>
      </c>
      <c r="Z812" s="315" t="str">
        <f t="shared" ca="1" si="371"/>
        <v/>
      </c>
      <c r="AA812" s="316" t="str">
        <f t="shared" ca="1" si="372"/>
        <v/>
      </c>
      <c r="AC812" s="310" t="e">
        <f t="shared" ca="1" si="373"/>
        <v>#N/A</v>
      </c>
      <c r="AD812" s="323" t="e">
        <f t="shared" ca="1" si="374"/>
        <v>#N/A</v>
      </c>
      <c r="AE812" s="324" t="e">
        <f t="shared" ca="1" si="353"/>
        <v>#N/A</v>
      </c>
      <c r="AG812" s="306">
        <f t="shared" ca="1" si="375"/>
        <v>1.4633603096702466</v>
      </c>
      <c r="AH812" s="304">
        <f t="shared" ca="1" si="376"/>
        <v>-8.32175375141186</v>
      </c>
    </row>
    <row r="813" spans="1:34" x14ac:dyDescent="0.3">
      <c r="A813" s="347">
        <f t="shared" ca="1" si="354"/>
        <v>1E-4</v>
      </c>
      <c r="B813" s="304">
        <f t="shared" ca="1" si="355"/>
        <v>16.146799999999853</v>
      </c>
      <c r="D813" s="306">
        <f t="shared" ca="1" si="356"/>
        <v>-0.59236760993430537</v>
      </c>
      <c r="E813" s="307">
        <f t="shared" ca="1" si="357"/>
        <v>-1.5093052862310792</v>
      </c>
      <c r="F813" s="304">
        <f t="shared" ca="1" si="358"/>
        <v>1.6213888590786485</v>
      </c>
      <c r="G813" s="306">
        <f t="shared" ca="1" si="359"/>
        <v>3.726552938117476</v>
      </c>
      <c r="H813" s="307">
        <f t="shared" ca="1" si="360"/>
        <v>-52.220207296728681</v>
      </c>
      <c r="I813" s="304">
        <f t="shared" ca="1" si="361"/>
        <v>52.353006092428991</v>
      </c>
      <c r="J813" s="306">
        <f t="shared" ca="1" si="362"/>
        <v>150.09587023194715</v>
      </c>
      <c r="K813" s="307">
        <f t="shared" ca="1" si="363"/>
        <v>-5.2664003407122539</v>
      </c>
      <c r="L813" s="304">
        <f t="shared" ca="1" si="348"/>
        <v>150.18823267231747</v>
      </c>
      <c r="M813" s="306">
        <f t="shared" ca="1" si="364"/>
        <v>-1.499554819466574</v>
      </c>
      <c r="N813" s="304">
        <f t="shared" ca="1" si="365"/>
        <v>-85.918162303936796</v>
      </c>
      <c r="P813" s="310">
        <f t="shared" ca="1" si="366"/>
        <v>23</v>
      </c>
      <c r="Q813" s="304">
        <f t="shared" ca="1" si="367"/>
        <v>0</v>
      </c>
      <c r="R813" s="306">
        <f t="shared" ca="1" si="368"/>
        <v>0</v>
      </c>
      <c r="S813" s="307">
        <f t="shared" ca="1" si="369"/>
        <v>0.4270000000000001</v>
      </c>
      <c r="T813" s="304">
        <f t="shared" ca="1" si="349"/>
        <v>4.1888700000000014</v>
      </c>
      <c r="U813" s="311">
        <f t="shared" ca="1" si="350"/>
        <v>0</v>
      </c>
      <c r="V813" s="306">
        <f t="shared" ca="1" si="351"/>
        <v>1.2256453039631878</v>
      </c>
      <c r="W813" s="304">
        <f t="shared" ca="1" si="352"/>
        <v>3.5534322921614891</v>
      </c>
      <c r="Y813" s="314" t="str">
        <f t="shared" ca="1" si="370"/>
        <v/>
      </c>
      <c r="Z813" s="315" t="str">
        <f t="shared" ca="1" si="371"/>
        <v/>
      </c>
      <c r="AA813" s="316" t="str">
        <f t="shared" ca="1" si="372"/>
        <v/>
      </c>
      <c r="AC813" s="310" t="e">
        <f t="shared" ca="1" si="373"/>
        <v>#N/A</v>
      </c>
      <c r="AD813" s="323" t="e">
        <f t="shared" ca="1" si="374"/>
        <v>#N/A</v>
      </c>
      <c r="AE813" s="324" t="e">
        <f t="shared" ca="1" si="353"/>
        <v>#N/A</v>
      </c>
      <c r="AG813" s="306">
        <f t="shared" ca="1" si="375"/>
        <v>1.4633103735465873</v>
      </c>
      <c r="AH813" s="304">
        <f t="shared" ca="1" si="376"/>
        <v>-8.3218046189808241</v>
      </c>
    </row>
    <row r="814" spans="1:34" x14ac:dyDescent="0.3">
      <c r="A814" s="347">
        <f t="shared" ca="1" si="354"/>
        <v>1E-4</v>
      </c>
      <c r="B814" s="304">
        <f t="shared" ca="1" si="355"/>
        <v>16.146899999999853</v>
      </c>
      <c r="D814" s="306">
        <f t="shared" ca="1" si="356"/>
        <v>-0.59236015891895133</v>
      </c>
      <c r="E814" s="307">
        <f t="shared" ca="1" si="357"/>
        <v>-1.5092537589719264</v>
      </c>
      <c r="F814" s="304">
        <f t="shared" ca="1" si="358"/>
        <v>1.6213381716487696</v>
      </c>
      <c r="G814" s="306">
        <f t="shared" ca="1" si="359"/>
        <v>3.726493702101584</v>
      </c>
      <c r="H814" s="307">
        <f t="shared" ca="1" si="360"/>
        <v>-52.220358222104579</v>
      </c>
      <c r="I814" s="304">
        <f t="shared" ca="1" si="361"/>
        <v>52.353152418519443</v>
      </c>
      <c r="J814" s="306">
        <f t="shared" ca="1" si="362"/>
        <v>150.09587023194715</v>
      </c>
      <c r="K814" s="307">
        <f t="shared" ca="1" si="363"/>
        <v>-5.2716223689881954</v>
      </c>
      <c r="L814" s="304">
        <f t="shared" ca="1" si="348"/>
        <v>150.18841587514908</v>
      </c>
      <c r="M814" s="306">
        <f t="shared" ca="1" si="364"/>
        <v>-1.4995561532700381</v>
      </c>
      <c r="N814" s="304">
        <f t="shared" ca="1" si="365"/>
        <v>-85.918238725245985</v>
      </c>
      <c r="P814" s="310">
        <f t="shared" ca="1" si="366"/>
        <v>23</v>
      </c>
      <c r="Q814" s="304">
        <f t="shared" ca="1" si="367"/>
        <v>0</v>
      </c>
      <c r="R814" s="306">
        <f t="shared" ca="1" si="368"/>
        <v>0</v>
      </c>
      <c r="S814" s="307">
        <f t="shared" ca="1" si="369"/>
        <v>0.4270000000000001</v>
      </c>
      <c r="T814" s="304">
        <f t="shared" ca="1" si="349"/>
        <v>4.1888700000000014</v>
      </c>
      <c r="U814" s="311">
        <f t="shared" ca="1" si="350"/>
        <v>0</v>
      </c>
      <c r="V814" s="306">
        <f t="shared" ca="1" si="351"/>
        <v>1.225645943998843</v>
      </c>
      <c r="W814" s="304">
        <f t="shared" ca="1" si="352"/>
        <v>3.5534540114229052</v>
      </c>
      <c r="Y814" s="314" t="str">
        <f t="shared" ca="1" si="370"/>
        <v/>
      </c>
      <c r="Z814" s="315" t="str">
        <f t="shared" ca="1" si="371"/>
        <v/>
      </c>
      <c r="AA814" s="316" t="str">
        <f t="shared" ca="1" si="372"/>
        <v/>
      </c>
      <c r="AC814" s="310" t="e">
        <f t="shared" ca="1" si="373"/>
        <v>#N/A</v>
      </c>
      <c r="AD814" s="323" t="e">
        <f t="shared" ca="1" si="374"/>
        <v>#N/A</v>
      </c>
      <c r="AE814" s="324" t="e">
        <f t="shared" ca="1" si="353"/>
        <v>#N/A</v>
      </c>
      <c r="AG814" s="306">
        <f t="shared" ca="1" si="375"/>
        <v>1.4632604387795833</v>
      </c>
      <c r="AH814" s="304">
        <f t="shared" ca="1" si="376"/>
        <v>-8.3218554851557105</v>
      </c>
    </row>
    <row r="815" spans="1:34" x14ac:dyDescent="0.3">
      <c r="A815" s="347">
        <f t="shared" ca="1" si="354"/>
        <v>1E-4</v>
      </c>
      <c r="B815" s="304">
        <f t="shared" ca="1" si="355"/>
        <v>16.146999999999853</v>
      </c>
      <c r="D815" s="306">
        <f t="shared" ca="1" si="356"/>
        <v>-0.59235270790585082</v>
      </c>
      <c r="E815" s="307">
        <f t="shared" ca="1" si="357"/>
        <v>-1.5092022331253752</v>
      </c>
      <c r="F815" s="304">
        <f t="shared" ca="1" si="358"/>
        <v>1.6212874856218478</v>
      </c>
      <c r="G815" s="306">
        <f t="shared" ca="1" si="359"/>
        <v>3.7264344668307934</v>
      </c>
      <c r="H815" s="307">
        <f t="shared" ca="1" si="360"/>
        <v>-52.220509142327892</v>
      </c>
      <c r="I815" s="304">
        <f t="shared" ca="1" si="361"/>
        <v>52.353298739616548</v>
      </c>
      <c r="J815" s="306">
        <f t="shared" ca="1" si="362"/>
        <v>150.09587023194715</v>
      </c>
      <c r="K815" s="307">
        <f t="shared" ca="1" si="363"/>
        <v>-5.2768444123564171</v>
      </c>
      <c r="L815" s="304">
        <f t="shared" ca="1" si="348"/>
        <v>150.18859925985637</v>
      </c>
      <c r="M815" s="306">
        <f t="shared" ca="1" si="364"/>
        <v>-1.4995574870448449</v>
      </c>
      <c r="N815" s="304">
        <f t="shared" ca="1" si="365"/>
        <v>-85.918315144913237</v>
      </c>
      <c r="P815" s="310">
        <f t="shared" ca="1" si="366"/>
        <v>23</v>
      </c>
      <c r="Q815" s="304">
        <f t="shared" ca="1" si="367"/>
        <v>0</v>
      </c>
      <c r="R815" s="306">
        <f t="shared" ca="1" si="368"/>
        <v>0</v>
      </c>
      <c r="S815" s="307">
        <f t="shared" ca="1" si="369"/>
        <v>0.4270000000000001</v>
      </c>
      <c r="T815" s="304">
        <f t="shared" ca="1" si="349"/>
        <v>4.1888700000000014</v>
      </c>
      <c r="U815" s="311">
        <f t="shared" ca="1" si="350"/>
        <v>0</v>
      </c>
      <c r="V815" s="306">
        <f t="shared" ca="1" si="351"/>
        <v>1.2256465840366821</v>
      </c>
      <c r="W815" s="304">
        <f t="shared" ca="1" si="352"/>
        <v>3.5534757300890729</v>
      </c>
      <c r="Y815" s="314" t="str">
        <f t="shared" ca="1" si="370"/>
        <v/>
      </c>
      <c r="Z815" s="315" t="str">
        <f t="shared" ca="1" si="371"/>
        <v/>
      </c>
      <c r="AA815" s="316" t="str">
        <f t="shared" ca="1" si="372"/>
        <v/>
      </c>
      <c r="AC815" s="310" t="e">
        <f t="shared" ca="1" si="373"/>
        <v>#N/A</v>
      </c>
      <c r="AD815" s="323" t="e">
        <f t="shared" ca="1" si="374"/>
        <v>#N/A</v>
      </c>
      <c r="AE815" s="324" t="e">
        <f t="shared" ca="1" si="353"/>
        <v>#N/A</v>
      </c>
      <c r="AG815" s="306">
        <f t="shared" ca="1" si="375"/>
        <v>1.4632105053692133</v>
      </c>
      <c r="AH815" s="304">
        <f t="shared" ca="1" si="376"/>
        <v>-8.321906349936544</v>
      </c>
    </row>
    <row r="816" spans="1:34" x14ac:dyDescent="0.3">
      <c r="A816" s="347">
        <f t="shared" ca="1" si="354"/>
        <v>1E-4</v>
      </c>
      <c r="B816" s="304">
        <f t="shared" ca="1" si="355"/>
        <v>16.147099999999853</v>
      </c>
      <c r="D816" s="306">
        <f t="shared" ca="1" si="356"/>
        <v>-0.59234525689500861</v>
      </c>
      <c r="E816" s="307">
        <f t="shared" ca="1" si="357"/>
        <v>-1.5091507086913953</v>
      </c>
      <c r="F816" s="304">
        <f t="shared" ca="1" si="358"/>
        <v>1.6212368009978537</v>
      </c>
      <c r="G816" s="306">
        <f t="shared" ca="1" si="359"/>
        <v>3.726375232305104</v>
      </c>
      <c r="H816" s="307">
        <f t="shared" ca="1" si="360"/>
        <v>-52.22066005739876</v>
      </c>
      <c r="I816" s="304">
        <f t="shared" ca="1" si="361"/>
        <v>52.353445055720442</v>
      </c>
      <c r="J816" s="306">
        <f t="shared" ca="1" si="362"/>
        <v>150.09587023194715</v>
      </c>
      <c r="K816" s="307">
        <f t="shared" ca="1" si="363"/>
        <v>-5.2820664708164031</v>
      </c>
      <c r="L816" s="304">
        <f t="shared" ca="1" si="348"/>
        <v>150.18878282644027</v>
      </c>
      <c r="M816" s="306">
        <f t="shared" ca="1" si="364"/>
        <v>-1.4995588207909953</v>
      </c>
      <c r="N816" s="304">
        <f t="shared" ca="1" si="365"/>
        <v>-85.918391562938595</v>
      </c>
      <c r="P816" s="310">
        <f t="shared" ca="1" si="366"/>
        <v>23</v>
      </c>
      <c r="Q816" s="304">
        <f t="shared" ca="1" si="367"/>
        <v>0</v>
      </c>
      <c r="R816" s="306">
        <f t="shared" ca="1" si="368"/>
        <v>0</v>
      </c>
      <c r="S816" s="307">
        <f t="shared" ca="1" si="369"/>
        <v>0.4270000000000001</v>
      </c>
      <c r="T816" s="304">
        <f t="shared" ca="1" si="349"/>
        <v>4.1888700000000014</v>
      </c>
      <c r="U816" s="311">
        <f t="shared" ca="1" si="350"/>
        <v>0</v>
      </c>
      <c r="V816" s="306">
        <f t="shared" ca="1" si="351"/>
        <v>1.2256472240767049</v>
      </c>
      <c r="W816" s="304">
        <f t="shared" ca="1" si="352"/>
        <v>3.5534974481600003</v>
      </c>
      <c r="Y816" s="314" t="str">
        <f t="shared" ca="1" si="370"/>
        <v/>
      </c>
      <c r="Z816" s="315" t="str">
        <f t="shared" ca="1" si="371"/>
        <v/>
      </c>
      <c r="AA816" s="316" t="str">
        <f t="shared" ca="1" si="372"/>
        <v/>
      </c>
      <c r="AC816" s="310" t="e">
        <f t="shared" ca="1" si="373"/>
        <v>#N/A</v>
      </c>
      <c r="AD816" s="323" t="e">
        <f t="shared" ca="1" si="374"/>
        <v>#N/A</v>
      </c>
      <c r="AE816" s="324" t="e">
        <f t="shared" ca="1" si="353"/>
        <v>#N/A</v>
      </c>
      <c r="AG816" s="306">
        <f t="shared" ca="1" si="375"/>
        <v>1.4631605733154487</v>
      </c>
      <c r="AH816" s="304">
        <f t="shared" ca="1" si="376"/>
        <v>-8.321957213323353</v>
      </c>
    </row>
    <row r="817" spans="1:34" x14ac:dyDescent="0.3">
      <c r="A817" s="347">
        <f t="shared" ca="1" si="354"/>
        <v>1E-4</v>
      </c>
      <c r="B817" s="304">
        <f t="shared" ca="1" si="355"/>
        <v>16.147199999999852</v>
      </c>
      <c r="D817" s="306">
        <f t="shared" ca="1" si="356"/>
        <v>-0.59233780588642893</v>
      </c>
      <c r="E817" s="307">
        <f t="shared" ca="1" si="357"/>
        <v>-1.5090991856699674</v>
      </c>
      <c r="F817" s="304">
        <f t="shared" ca="1" si="358"/>
        <v>1.6211861177767677</v>
      </c>
      <c r="G817" s="306">
        <f t="shared" ca="1" si="359"/>
        <v>3.7263159985245156</v>
      </c>
      <c r="H817" s="307">
        <f t="shared" ca="1" si="360"/>
        <v>-52.220810967317327</v>
      </c>
      <c r="I817" s="304">
        <f t="shared" ca="1" si="361"/>
        <v>52.353591366831267</v>
      </c>
      <c r="J817" s="306">
        <f t="shared" ca="1" si="362"/>
        <v>150.09587023194715</v>
      </c>
      <c r="K817" s="307">
        <f t="shared" ca="1" si="363"/>
        <v>-5.2872885443676392</v>
      </c>
      <c r="L817" s="304">
        <f t="shared" ca="1" si="348"/>
        <v>150.18896657490163</v>
      </c>
      <c r="M817" s="306">
        <f t="shared" ca="1" si="364"/>
        <v>-1.4995601545084898</v>
      </c>
      <c r="N817" s="304">
        <f t="shared" ca="1" si="365"/>
        <v>-85.918467979322088</v>
      </c>
      <c r="P817" s="310">
        <f t="shared" ca="1" si="366"/>
        <v>23</v>
      </c>
      <c r="Q817" s="304">
        <f t="shared" ca="1" si="367"/>
        <v>0</v>
      </c>
      <c r="R817" s="306">
        <f t="shared" ca="1" si="368"/>
        <v>0</v>
      </c>
      <c r="S817" s="307">
        <f t="shared" ca="1" si="369"/>
        <v>0.4270000000000001</v>
      </c>
      <c r="T817" s="304">
        <f t="shared" ca="1" si="349"/>
        <v>4.1888700000000014</v>
      </c>
      <c r="U817" s="311">
        <f t="shared" ca="1" si="350"/>
        <v>0</v>
      </c>
      <c r="V817" s="306">
        <f t="shared" ca="1" si="351"/>
        <v>1.2256478641189119</v>
      </c>
      <c r="W817" s="304">
        <f t="shared" ca="1" si="352"/>
        <v>3.5535191656357044</v>
      </c>
      <c r="Y817" s="314" t="str">
        <f t="shared" ca="1" si="370"/>
        <v/>
      </c>
      <c r="Z817" s="315" t="str">
        <f t="shared" ca="1" si="371"/>
        <v/>
      </c>
      <c r="AA817" s="316" t="str">
        <f t="shared" ca="1" si="372"/>
        <v/>
      </c>
      <c r="AC817" s="310" t="e">
        <f t="shared" ca="1" si="373"/>
        <v>#N/A</v>
      </c>
      <c r="AD817" s="323" t="e">
        <f t="shared" ca="1" si="374"/>
        <v>#N/A</v>
      </c>
      <c r="AE817" s="324" t="e">
        <f t="shared" ca="1" si="353"/>
        <v>#N/A</v>
      </c>
      <c r="AG817" s="306">
        <f t="shared" ca="1" si="375"/>
        <v>1.4631106426182701</v>
      </c>
      <c r="AH817" s="304">
        <f t="shared" ca="1" si="376"/>
        <v>-8.3220080753161589</v>
      </c>
    </row>
    <row r="818" spans="1:34" x14ac:dyDescent="0.3">
      <c r="A818" s="347">
        <f t="shared" ca="1" si="354"/>
        <v>1E-4</v>
      </c>
      <c r="B818" s="304">
        <f t="shared" ca="1" si="355"/>
        <v>16.147299999999852</v>
      </c>
      <c r="D818" s="306">
        <f t="shared" ca="1" si="356"/>
        <v>-0.59233035488012065</v>
      </c>
      <c r="E818" s="307">
        <f t="shared" ca="1" si="357"/>
        <v>-1.509047664061054</v>
      </c>
      <c r="F818" s="304">
        <f t="shared" ca="1" si="358"/>
        <v>1.6211354359585546</v>
      </c>
      <c r="G818" s="306">
        <f t="shared" ca="1" si="359"/>
        <v>3.7262567654890275</v>
      </c>
      <c r="H818" s="307">
        <f t="shared" ca="1" si="360"/>
        <v>-52.220961872083734</v>
      </c>
      <c r="I818" s="304">
        <f t="shared" ca="1" si="361"/>
        <v>52.353737672949158</v>
      </c>
      <c r="J818" s="306">
        <f t="shared" ca="1" si="362"/>
        <v>150.09587023194715</v>
      </c>
      <c r="K818" s="307">
        <f t="shared" ca="1" si="363"/>
        <v>-5.2925106330096092</v>
      </c>
      <c r="L818" s="304">
        <f t="shared" ca="1" si="348"/>
        <v>150.18915050524134</v>
      </c>
      <c r="M818" s="306">
        <f t="shared" ca="1" si="364"/>
        <v>-1.4995614881973296</v>
      </c>
      <c r="N818" s="304">
        <f t="shared" ca="1" si="365"/>
        <v>-85.918544394063801</v>
      </c>
      <c r="P818" s="310">
        <f t="shared" ca="1" si="366"/>
        <v>23</v>
      </c>
      <c r="Q818" s="304">
        <f t="shared" ca="1" si="367"/>
        <v>0</v>
      </c>
      <c r="R818" s="306">
        <f t="shared" ca="1" si="368"/>
        <v>0</v>
      </c>
      <c r="S818" s="307">
        <f t="shared" ca="1" si="369"/>
        <v>0.4270000000000001</v>
      </c>
      <c r="T818" s="304">
        <f t="shared" ca="1" si="349"/>
        <v>4.1888700000000014</v>
      </c>
      <c r="U818" s="311">
        <f t="shared" ca="1" si="350"/>
        <v>0</v>
      </c>
      <c r="V818" s="306">
        <f t="shared" ca="1" si="351"/>
        <v>1.225648504163303</v>
      </c>
      <c r="W818" s="304">
        <f t="shared" ca="1" si="352"/>
        <v>3.5535408825161947</v>
      </c>
      <c r="Y818" s="314" t="str">
        <f t="shared" ca="1" si="370"/>
        <v/>
      </c>
      <c r="Z818" s="315" t="str">
        <f t="shared" ca="1" si="371"/>
        <v/>
      </c>
      <c r="AA818" s="316" t="str">
        <f t="shared" ca="1" si="372"/>
        <v/>
      </c>
      <c r="AC818" s="310" t="e">
        <f t="shared" ca="1" si="373"/>
        <v>#N/A</v>
      </c>
      <c r="AD818" s="323" t="e">
        <f t="shared" ca="1" si="374"/>
        <v>#N/A</v>
      </c>
      <c r="AE818" s="324" t="e">
        <f t="shared" ca="1" si="353"/>
        <v>#N/A</v>
      </c>
      <c r="AG818" s="306">
        <f t="shared" ca="1" si="375"/>
        <v>1.4630607132776472</v>
      </c>
      <c r="AH818" s="304">
        <f t="shared" ca="1" si="376"/>
        <v>-8.3220589359149972</v>
      </c>
    </row>
    <row r="819" spans="1:34" x14ac:dyDescent="0.3">
      <c r="A819" s="347">
        <f t="shared" ca="1" si="354"/>
        <v>1E-4</v>
      </c>
      <c r="B819" s="304">
        <f t="shared" ca="1" si="355"/>
        <v>16.147399999999852</v>
      </c>
      <c r="D819" s="306">
        <f t="shared" ca="1" si="356"/>
        <v>-0.59232290387608422</v>
      </c>
      <c r="E819" s="307">
        <f t="shared" ca="1" si="357"/>
        <v>-1.508996143864632</v>
      </c>
      <c r="F819" s="304">
        <f t="shared" ca="1" si="358"/>
        <v>1.6210847555431906</v>
      </c>
      <c r="G819" s="306">
        <f t="shared" ca="1" si="359"/>
        <v>3.7261975331986399</v>
      </c>
      <c r="H819" s="307">
        <f t="shared" ca="1" si="360"/>
        <v>-52.221112771698124</v>
      </c>
      <c r="I819" s="304">
        <f t="shared" ca="1" si="361"/>
        <v>52.35388397407425</v>
      </c>
      <c r="J819" s="306">
        <f t="shared" ca="1" si="362"/>
        <v>150.09587023194715</v>
      </c>
      <c r="K819" s="307">
        <f t="shared" ca="1" si="363"/>
        <v>-5.2977327367417981</v>
      </c>
      <c r="L819" s="304">
        <f t="shared" ca="1" si="348"/>
        <v>150.1893346174603</v>
      </c>
      <c r="M819" s="306">
        <f t="shared" ca="1" si="364"/>
        <v>-1.4995628218575152</v>
      </c>
      <c r="N819" s="304">
        <f t="shared" ca="1" si="365"/>
        <v>-85.918620807163734</v>
      </c>
      <c r="P819" s="310">
        <f t="shared" ca="1" si="366"/>
        <v>23</v>
      </c>
      <c r="Q819" s="304">
        <f t="shared" ca="1" si="367"/>
        <v>0</v>
      </c>
      <c r="R819" s="306">
        <f t="shared" ca="1" si="368"/>
        <v>0</v>
      </c>
      <c r="S819" s="307">
        <f t="shared" ca="1" si="369"/>
        <v>0.4270000000000001</v>
      </c>
      <c r="T819" s="304">
        <f t="shared" ca="1" si="349"/>
        <v>4.1888700000000014</v>
      </c>
      <c r="U819" s="311">
        <f t="shared" ca="1" si="350"/>
        <v>0</v>
      </c>
      <c r="V819" s="306">
        <f t="shared" ca="1" si="351"/>
        <v>1.2256491442098774</v>
      </c>
      <c r="W819" s="304">
        <f t="shared" ca="1" si="352"/>
        <v>3.5535625988014821</v>
      </c>
      <c r="Y819" s="314" t="str">
        <f t="shared" ca="1" si="370"/>
        <v/>
      </c>
      <c r="Z819" s="315" t="str">
        <f t="shared" ca="1" si="371"/>
        <v/>
      </c>
      <c r="AA819" s="316" t="str">
        <f t="shared" ca="1" si="372"/>
        <v/>
      </c>
      <c r="AC819" s="310" t="e">
        <f t="shared" ca="1" si="373"/>
        <v>#N/A</v>
      </c>
      <c r="AD819" s="323" t="e">
        <f t="shared" ca="1" si="374"/>
        <v>#N/A</v>
      </c>
      <c r="AE819" s="324" t="e">
        <f t="shared" ca="1" si="353"/>
        <v>#N/A</v>
      </c>
      <c r="AG819" s="306">
        <f t="shared" ca="1" si="375"/>
        <v>1.4630107852935534</v>
      </c>
      <c r="AH819" s="304">
        <f t="shared" ca="1" si="376"/>
        <v>-8.3221097951198928</v>
      </c>
    </row>
    <row r="820" spans="1:34" x14ac:dyDescent="0.3">
      <c r="A820" s="347">
        <f t="shared" ca="1" si="354"/>
        <v>1E-4</v>
      </c>
      <c r="B820" s="304">
        <f t="shared" ca="1" si="355"/>
        <v>16.147499999999852</v>
      </c>
      <c r="D820" s="306">
        <f t="shared" ca="1" si="356"/>
        <v>-0.59231545287432774</v>
      </c>
      <c r="E820" s="307">
        <f t="shared" ca="1" si="357"/>
        <v>-1.5089446250806748</v>
      </c>
      <c r="F820" s="304">
        <f t="shared" ca="1" si="358"/>
        <v>1.6210340765306503</v>
      </c>
      <c r="G820" s="306">
        <f t="shared" ca="1" si="359"/>
        <v>3.7261383016533522</v>
      </c>
      <c r="H820" s="307">
        <f t="shared" ca="1" si="360"/>
        <v>-52.221263666160631</v>
      </c>
      <c r="I820" s="304">
        <f t="shared" ca="1" si="361"/>
        <v>52.354030270206671</v>
      </c>
      <c r="J820" s="306">
        <f t="shared" ca="1" si="362"/>
        <v>150.09587023194715</v>
      </c>
      <c r="K820" s="307">
        <f t="shared" ca="1" si="363"/>
        <v>-5.3029548555636907</v>
      </c>
      <c r="L820" s="304">
        <f t="shared" ca="1" si="348"/>
        <v>150.18951891155942</v>
      </c>
      <c r="M820" s="306">
        <f t="shared" ca="1" si="364"/>
        <v>-1.4995641554890478</v>
      </c>
      <c r="N820" s="304">
        <f t="shared" ca="1" si="365"/>
        <v>-85.918697218621972</v>
      </c>
      <c r="P820" s="310">
        <f t="shared" ca="1" si="366"/>
        <v>23</v>
      </c>
      <c r="Q820" s="304">
        <f t="shared" ca="1" si="367"/>
        <v>0</v>
      </c>
      <c r="R820" s="306">
        <f t="shared" ca="1" si="368"/>
        <v>0</v>
      </c>
      <c r="S820" s="307">
        <f t="shared" ca="1" si="369"/>
        <v>0.4270000000000001</v>
      </c>
      <c r="T820" s="304">
        <f t="shared" ca="1" si="349"/>
        <v>4.1888700000000014</v>
      </c>
      <c r="U820" s="311">
        <f t="shared" ca="1" si="350"/>
        <v>0</v>
      </c>
      <c r="V820" s="306">
        <f t="shared" ca="1" si="351"/>
        <v>1.2256497842586362</v>
      </c>
      <c r="W820" s="304">
        <f t="shared" ca="1" si="352"/>
        <v>3.5535843144915802</v>
      </c>
      <c r="Y820" s="314" t="str">
        <f t="shared" ca="1" si="370"/>
        <v/>
      </c>
      <c r="Z820" s="315" t="str">
        <f t="shared" ca="1" si="371"/>
        <v/>
      </c>
      <c r="AA820" s="316" t="str">
        <f t="shared" ca="1" si="372"/>
        <v/>
      </c>
      <c r="AC820" s="310" t="e">
        <f t="shared" ca="1" si="373"/>
        <v>#N/A</v>
      </c>
      <c r="AD820" s="323" t="e">
        <f t="shared" ca="1" si="374"/>
        <v>#N/A</v>
      </c>
      <c r="AE820" s="324" t="e">
        <f t="shared" ca="1" si="353"/>
        <v>#N/A</v>
      </c>
      <c r="AG820" s="306">
        <f t="shared" ca="1" si="375"/>
        <v>1.4629608586659639</v>
      </c>
      <c r="AH820" s="304">
        <f t="shared" ca="1" si="376"/>
        <v>-8.3221606529308687</v>
      </c>
    </row>
    <row r="821" spans="1:34" x14ac:dyDescent="0.3">
      <c r="A821" s="347">
        <f t="shared" ca="1" si="354"/>
        <v>1E-4</v>
      </c>
      <c r="B821" s="304">
        <f t="shared" ca="1" si="355"/>
        <v>16.147599999999851</v>
      </c>
      <c r="D821" s="306">
        <f t="shared" ca="1" si="356"/>
        <v>-0.59230800187485455</v>
      </c>
      <c r="E821" s="307">
        <f t="shared" ca="1" si="357"/>
        <v>-1.5088931077091488</v>
      </c>
      <c r="F821" s="304">
        <f t="shared" ca="1" si="358"/>
        <v>1.6209833989209006</v>
      </c>
      <c r="G821" s="306">
        <f t="shared" ca="1" si="359"/>
        <v>3.7260790708531646</v>
      </c>
      <c r="H821" s="307">
        <f t="shared" ca="1" si="360"/>
        <v>-52.221414555471405</v>
      </c>
      <c r="I821" s="304">
        <f t="shared" ca="1" si="361"/>
        <v>52.35417656134657</v>
      </c>
      <c r="J821" s="306">
        <f t="shared" ca="1" si="362"/>
        <v>150.09587023194715</v>
      </c>
      <c r="K821" s="307">
        <f t="shared" ca="1" si="363"/>
        <v>-5.3081769894747719</v>
      </c>
      <c r="L821" s="304">
        <f t="shared" ca="1" si="348"/>
        <v>150.18970338753954</v>
      </c>
      <c r="M821" s="306">
        <f t="shared" ca="1" si="364"/>
        <v>-1.4995654890919277</v>
      </c>
      <c r="N821" s="304">
        <f t="shared" ca="1" si="365"/>
        <v>-85.918773628438544</v>
      </c>
      <c r="P821" s="310">
        <f t="shared" ca="1" si="366"/>
        <v>23</v>
      </c>
      <c r="Q821" s="304">
        <f t="shared" ca="1" si="367"/>
        <v>0</v>
      </c>
      <c r="R821" s="306">
        <f t="shared" ca="1" si="368"/>
        <v>0</v>
      </c>
      <c r="S821" s="307">
        <f t="shared" ca="1" si="369"/>
        <v>0.4270000000000001</v>
      </c>
      <c r="T821" s="304">
        <f t="shared" ca="1" si="349"/>
        <v>4.1888700000000014</v>
      </c>
      <c r="U821" s="311">
        <f t="shared" ca="1" si="350"/>
        <v>0</v>
      </c>
      <c r="V821" s="306">
        <f t="shared" ca="1" si="351"/>
        <v>1.2256504243095783</v>
      </c>
      <c r="W821" s="304">
        <f t="shared" ca="1" si="352"/>
        <v>3.5536060295864988</v>
      </c>
      <c r="Y821" s="314" t="str">
        <f t="shared" ca="1" si="370"/>
        <v/>
      </c>
      <c r="Z821" s="315" t="str">
        <f t="shared" ca="1" si="371"/>
        <v/>
      </c>
      <c r="AA821" s="316" t="str">
        <f t="shared" ca="1" si="372"/>
        <v/>
      </c>
      <c r="AC821" s="310" t="e">
        <f t="shared" ca="1" si="373"/>
        <v>#N/A</v>
      </c>
      <c r="AD821" s="323" t="e">
        <f t="shared" ca="1" si="374"/>
        <v>#N/A</v>
      </c>
      <c r="AE821" s="324" t="e">
        <f t="shared" ca="1" si="353"/>
        <v>#N/A</v>
      </c>
      <c r="AG821" s="306">
        <f t="shared" ca="1" si="375"/>
        <v>1.4629109333948502</v>
      </c>
      <c r="AH821" s="304">
        <f t="shared" ca="1" si="376"/>
        <v>-8.3222115093479605</v>
      </c>
    </row>
    <row r="822" spans="1:34" x14ac:dyDescent="0.3">
      <c r="A822" s="347">
        <f t="shared" ca="1" si="354"/>
        <v>1E-4</v>
      </c>
      <c r="B822" s="304">
        <f t="shared" ca="1" si="355"/>
        <v>16.147699999999851</v>
      </c>
      <c r="D822" s="306">
        <f t="shared" ca="1" si="356"/>
        <v>-0.59230055087767242</v>
      </c>
      <c r="E822" s="307">
        <f t="shared" ca="1" si="357"/>
        <v>-1.5088415917500324</v>
      </c>
      <c r="F822" s="304">
        <f t="shared" ca="1" si="358"/>
        <v>1.6209327227139212</v>
      </c>
      <c r="G822" s="306">
        <f t="shared" ca="1" si="359"/>
        <v>3.7260198407980769</v>
      </c>
      <c r="H822" s="307">
        <f t="shared" ca="1" si="360"/>
        <v>-52.221565439630581</v>
      </c>
      <c r="I822" s="304">
        <f t="shared" ca="1" si="361"/>
        <v>52.354322847494075</v>
      </c>
      <c r="J822" s="306">
        <f t="shared" ca="1" si="362"/>
        <v>150.09587023194715</v>
      </c>
      <c r="K822" s="307">
        <f t="shared" ca="1" si="363"/>
        <v>-5.3133991384745274</v>
      </c>
      <c r="L822" s="304">
        <f t="shared" ca="1" si="348"/>
        <v>150.18988804540157</v>
      </c>
      <c r="M822" s="306">
        <f t="shared" ca="1" si="364"/>
        <v>-1.4995668226661563</v>
      </c>
      <c r="N822" s="304">
        <f t="shared" ca="1" si="365"/>
        <v>-85.918850036613506</v>
      </c>
      <c r="P822" s="310">
        <f t="shared" ca="1" si="366"/>
        <v>23</v>
      </c>
      <c r="Q822" s="304">
        <f t="shared" ca="1" si="367"/>
        <v>0</v>
      </c>
      <c r="R822" s="306">
        <f t="shared" ca="1" si="368"/>
        <v>0</v>
      </c>
      <c r="S822" s="307">
        <f t="shared" ca="1" si="369"/>
        <v>0.4270000000000001</v>
      </c>
      <c r="T822" s="304">
        <f t="shared" ca="1" si="349"/>
        <v>4.1888700000000014</v>
      </c>
      <c r="U822" s="311">
        <f t="shared" ca="1" si="350"/>
        <v>0</v>
      </c>
      <c r="V822" s="306">
        <f t="shared" ca="1" si="351"/>
        <v>1.2256510643627043</v>
      </c>
      <c r="W822" s="304">
        <f t="shared" ca="1" si="352"/>
        <v>3.55362774408625</v>
      </c>
      <c r="Y822" s="314" t="str">
        <f t="shared" ca="1" si="370"/>
        <v/>
      </c>
      <c r="Z822" s="315" t="str">
        <f t="shared" ca="1" si="371"/>
        <v/>
      </c>
      <c r="AA822" s="316" t="str">
        <f t="shared" ca="1" si="372"/>
        <v/>
      </c>
      <c r="AC822" s="310" t="e">
        <f t="shared" ca="1" si="373"/>
        <v>#N/A</v>
      </c>
      <c r="AD822" s="323" t="e">
        <f t="shared" ca="1" si="374"/>
        <v>#N/A</v>
      </c>
      <c r="AE822" s="324" t="e">
        <f t="shared" ca="1" si="353"/>
        <v>#N/A</v>
      </c>
      <c r="AG822" s="306">
        <f t="shared" ca="1" si="375"/>
        <v>1.4628610094801928</v>
      </c>
      <c r="AH822" s="304">
        <f t="shared" ca="1" si="376"/>
        <v>-8.3222623643711895</v>
      </c>
    </row>
    <row r="823" spans="1:34" x14ac:dyDescent="0.3">
      <c r="A823" s="347">
        <f t="shared" ca="1" si="354"/>
        <v>1E-4</v>
      </c>
      <c r="B823" s="304">
        <f t="shared" ca="1" si="355"/>
        <v>16.147799999999851</v>
      </c>
      <c r="D823" s="306">
        <f t="shared" ca="1" si="356"/>
        <v>-0.59229309988278245</v>
      </c>
      <c r="E823" s="307">
        <f t="shared" ca="1" si="357"/>
        <v>-1.5087900772032956</v>
      </c>
      <c r="F823" s="304">
        <f t="shared" ca="1" si="358"/>
        <v>1.6208820479096813</v>
      </c>
      <c r="G823" s="306">
        <f t="shared" ca="1" si="359"/>
        <v>3.7259606114880888</v>
      </c>
      <c r="H823" s="307">
        <f t="shared" ca="1" si="360"/>
        <v>-52.2217163186383</v>
      </c>
      <c r="I823" s="304">
        <f t="shared" ca="1" si="361"/>
        <v>52.35446912864932</v>
      </c>
      <c r="J823" s="306">
        <f t="shared" ca="1" si="362"/>
        <v>150.09587023194715</v>
      </c>
      <c r="K823" s="307">
        <f t="shared" ca="1" si="363"/>
        <v>-5.3186213025624411</v>
      </c>
      <c r="L823" s="304">
        <f t="shared" ca="1" si="348"/>
        <v>150.19007288514641</v>
      </c>
      <c r="M823" s="306">
        <f t="shared" ca="1" si="364"/>
        <v>-1.499568156211734</v>
      </c>
      <c r="N823" s="304">
        <f t="shared" ca="1" si="365"/>
        <v>-85.918926443146901</v>
      </c>
      <c r="P823" s="310">
        <f t="shared" ca="1" si="366"/>
        <v>23</v>
      </c>
      <c r="Q823" s="304">
        <f t="shared" ca="1" si="367"/>
        <v>0</v>
      </c>
      <c r="R823" s="306">
        <f t="shared" ca="1" si="368"/>
        <v>0</v>
      </c>
      <c r="S823" s="307">
        <f t="shared" ca="1" si="369"/>
        <v>0.4270000000000001</v>
      </c>
      <c r="T823" s="304">
        <f t="shared" ca="1" si="349"/>
        <v>4.1888700000000014</v>
      </c>
      <c r="U823" s="311">
        <f t="shared" ca="1" si="350"/>
        <v>0</v>
      </c>
      <c r="V823" s="306">
        <f t="shared" ca="1" si="351"/>
        <v>1.225651704418014</v>
      </c>
      <c r="W823" s="304">
        <f t="shared" ca="1" si="352"/>
        <v>3.5536494579908475</v>
      </c>
      <c r="Y823" s="314" t="str">
        <f t="shared" ca="1" si="370"/>
        <v/>
      </c>
      <c r="Z823" s="315" t="str">
        <f t="shared" ca="1" si="371"/>
        <v/>
      </c>
      <c r="AA823" s="316" t="str">
        <f t="shared" ca="1" si="372"/>
        <v/>
      </c>
      <c r="AC823" s="310" t="e">
        <f t="shared" ca="1" si="373"/>
        <v>#N/A</v>
      </c>
      <c r="AD823" s="323" t="e">
        <f t="shared" ca="1" si="374"/>
        <v>#N/A</v>
      </c>
      <c r="AE823" s="324" t="e">
        <f t="shared" ca="1" si="353"/>
        <v>#N/A</v>
      </c>
      <c r="AG823" s="306">
        <f t="shared" ca="1" si="375"/>
        <v>1.4628110869219633</v>
      </c>
      <c r="AH823" s="304">
        <f t="shared" ca="1" si="376"/>
        <v>-8.3223132180005841</v>
      </c>
    </row>
    <row r="824" spans="1:34" x14ac:dyDescent="0.3">
      <c r="A824" s="347">
        <f t="shared" ca="1" si="354"/>
        <v>1E-4</v>
      </c>
      <c r="B824" s="304">
        <f t="shared" ca="1" si="355"/>
        <v>16.147899999999851</v>
      </c>
      <c r="D824" s="306">
        <f t="shared" ca="1" si="356"/>
        <v>-0.59228564889019286</v>
      </c>
      <c r="E824" s="307">
        <f t="shared" ca="1" si="357"/>
        <v>-1.5087385640689082</v>
      </c>
      <c r="F824" s="304">
        <f t="shared" ca="1" si="358"/>
        <v>1.6208313745081528</v>
      </c>
      <c r="G824" s="306">
        <f t="shared" ca="1" si="359"/>
        <v>3.7259013829231997</v>
      </c>
      <c r="H824" s="307">
        <f t="shared" ca="1" si="360"/>
        <v>-52.221867192494706</v>
      </c>
      <c r="I824" s="304">
        <f t="shared" ca="1" si="361"/>
        <v>52.354615404812435</v>
      </c>
      <c r="J824" s="306">
        <f t="shared" ca="1" si="362"/>
        <v>150.09587023194715</v>
      </c>
      <c r="K824" s="307">
        <f t="shared" ca="1" si="363"/>
        <v>-5.323843481737998</v>
      </c>
      <c r="L824" s="304">
        <f t="shared" ca="1" si="348"/>
        <v>150.19025790677489</v>
      </c>
      <c r="M824" s="306">
        <f t="shared" ca="1" si="364"/>
        <v>-1.4995694897286616</v>
      </c>
      <c r="N824" s="304">
        <f t="shared" ca="1" si="365"/>
        <v>-85.919002848038758</v>
      </c>
      <c r="P824" s="310">
        <f t="shared" ca="1" si="366"/>
        <v>23</v>
      </c>
      <c r="Q824" s="304">
        <f t="shared" ca="1" si="367"/>
        <v>0</v>
      </c>
      <c r="R824" s="306">
        <f t="shared" ca="1" si="368"/>
        <v>0</v>
      </c>
      <c r="S824" s="307">
        <f t="shared" ca="1" si="369"/>
        <v>0.4270000000000001</v>
      </c>
      <c r="T824" s="304">
        <f t="shared" ca="1" si="349"/>
        <v>4.1888700000000014</v>
      </c>
      <c r="U824" s="311">
        <f t="shared" ca="1" si="350"/>
        <v>0</v>
      </c>
      <c r="V824" s="306">
        <f t="shared" ca="1" si="351"/>
        <v>1.2256523444755074</v>
      </c>
      <c r="W824" s="304">
        <f t="shared" ca="1" si="352"/>
        <v>3.5536711713003011</v>
      </c>
      <c r="Y824" s="314" t="str">
        <f t="shared" ca="1" si="370"/>
        <v/>
      </c>
      <c r="Z824" s="315" t="str">
        <f t="shared" ca="1" si="371"/>
        <v/>
      </c>
      <c r="AA824" s="316" t="str">
        <f t="shared" ca="1" si="372"/>
        <v/>
      </c>
      <c r="AC824" s="310" t="e">
        <f t="shared" ca="1" si="373"/>
        <v>#N/A</v>
      </c>
      <c r="AD824" s="323" t="e">
        <f t="shared" ca="1" si="374"/>
        <v>#N/A</v>
      </c>
      <c r="AE824" s="324" t="e">
        <f t="shared" ca="1" si="353"/>
        <v>#N/A</v>
      </c>
      <c r="AG824" s="306">
        <f t="shared" ca="1" si="375"/>
        <v>1.4627611657201314</v>
      </c>
      <c r="AH824" s="304">
        <f t="shared" ca="1" si="376"/>
        <v>-8.3223640702361745</v>
      </c>
    </row>
    <row r="825" spans="1:34" x14ac:dyDescent="0.3">
      <c r="A825" s="347">
        <f t="shared" ca="1" si="354"/>
        <v>1E-4</v>
      </c>
      <c r="B825" s="304">
        <f t="shared" ca="1" si="355"/>
        <v>16.14799999999985</v>
      </c>
      <c r="D825" s="306">
        <f t="shared" ca="1" si="356"/>
        <v>-0.5922781978999101</v>
      </c>
      <c r="E825" s="307">
        <f t="shared" ca="1" si="357"/>
        <v>-1.5086870523468452</v>
      </c>
      <c r="F825" s="304">
        <f t="shared" ca="1" si="358"/>
        <v>1.6207807025093115</v>
      </c>
      <c r="G825" s="306">
        <f t="shared" ca="1" si="359"/>
        <v>3.7258421551034098</v>
      </c>
      <c r="H825" s="307">
        <f t="shared" ca="1" si="360"/>
        <v>-52.22201806119994</v>
      </c>
      <c r="I825" s="304">
        <f t="shared" ca="1" si="361"/>
        <v>52.354761675983575</v>
      </c>
      <c r="J825" s="306">
        <f t="shared" ca="1" si="362"/>
        <v>150.09587023194715</v>
      </c>
      <c r="K825" s="307">
        <f t="shared" ca="1" si="363"/>
        <v>-5.3290656760006829</v>
      </c>
      <c r="L825" s="304">
        <f t="shared" ca="1" si="348"/>
        <v>150.19044311028796</v>
      </c>
      <c r="M825" s="306">
        <f t="shared" ca="1" si="364"/>
        <v>-1.4995708232169402</v>
      </c>
      <c r="N825" s="304">
        <f t="shared" ca="1" si="365"/>
        <v>-85.919079251289162</v>
      </c>
      <c r="P825" s="310">
        <f t="shared" ca="1" si="366"/>
        <v>23</v>
      </c>
      <c r="Q825" s="304">
        <f t="shared" ca="1" si="367"/>
        <v>0</v>
      </c>
      <c r="R825" s="306">
        <f t="shared" ca="1" si="368"/>
        <v>0</v>
      </c>
      <c r="S825" s="307">
        <f t="shared" ca="1" si="369"/>
        <v>0.4270000000000001</v>
      </c>
      <c r="T825" s="304">
        <f t="shared" ca="1" si="349"/>
        <v>4.1888700000000014</v>
      </c>
      <c r="U825" s="311">
        <f t="shared" ca="1" si="350"/>
        <v>0</v>
      </c>
      <c r="V825" s="306">
        <f t="shared" ca="1" si="351"/>
        <v>1.2256529845351838</v>
      </c>
      <c r="W825" s="304">
        <f t="shared" ca="1" si="352"/>
        <v>3.5536928840146214</v>
      </c>
      <c r="Y825" s="314" t="str">
        <f t="shared" ca="1" si="370"/>
        <v/>
      </c>
      <c r="Z825" s="315" t="str">
        <f t="shared" ca="1" si="371"/>
        <v/>
      </c>
      <c r="AA825" s="316" t="str">
        <f t="shared" ca="1" si="372"/>
        <v/>
      </c>
      <c r="AC825" s="310" t="e">
        <f t="shared" ca="1" si="373"/>
        <v>#N/A</v>
      </c>
      <c r="AD825" s="323" t="e">
        <f t="shared" ca="1" si="374"/>
        <v>#N/A</v>
      </c>
      <c r="AE825" s="324" t="e">
        <f t="shared" ca="1" si="353"/>
        <v>#N/A</v>
      </c>
      <c r="AG825" s="306">
        <f t="shared" ca="1" si="375"/>
        <v>1.462711245874674</v>
      </c>
      <c r="AH825" s="304">
        <f t="shared" ca="1" si="376"/>
        <v>-8.3224149210779856</v>
      </c>
    </row>
    <row r="826" spans="1:34" x14ac:dyDescent="0.3">
      <c r="A826" s="347">
        <f t="shared" ca="1" si="354"/>
        <v>1E-4</v>
      </c>
      <c r="B826" s="304">
        <f t="shared" ca="1" si="355"/>
        <v>16.14809999999985</v>
      </c>
      <c r="D826" s="306">
        <f t="shared" ca="1" si="356"/>
        <v>-0.59227074691193471</v>
      </c>
      <c r="E826" s="307">
        <f t="shared" ca="1" si="357"/>
        <v>-1.5086355420370783</v>
      </c>
      <c r="F826" s="304">
        <f t="shared" ca="1" si="358"/>
        <v>1.6207300319131284</v>
      </c>
      <c r="G826" s="306">
        <f t="shared" ca="1" si="359"/>
        <v>3.7257829280287185</v>
      </c>
      <c r="H826" s="307">
        <f t="shared" ca="1" si="360"/>
        <v>-52.222168924754143</v>
      </c>
      <c r="I826" s="304">
        <f t="shared" ca="1" si="361"/>
        <v>52.35490794216286</v>
      </c>
      <c r="J826" s="306">
        <f t="shared" ca="1" si="362"/>
        <v>150.09587023194715</v>
      </c>
      <c r="K826" s="307">
        <f t="shared" ca="1" si="363"/>
        <v>-5.3342878853499807</v>
      </c>
      <c r="L826" s="304">
        <f t="shared" ca="1" si="348"/>
        <v>150.19062849568647</v>
      </c>
      <c r="M826" s="306">
        <f t="shared" ca="1" si="364"/>
        <v>-1.4995721566765705</v>
      </c>
      <c r="N826" s="304">
        <f t="shared" ca="1" si="365"/>
        <v>-85.919155652898127</v>
      </c>
      <c r="P826" s="310">
        <f t="shared" ca="1" si="366"/>
        <v>23</v>
      </c>
      <c r="Q826" s="304">
        <f t="shared" ca="1" si="367"/>
        <v>0</v>
      </c>
      <c r="R826" s="306">
        <f t="shared" ca="1" si="368"/>
        <v>0</v>
      </c>
      <c r="S826" s="307">
        <f t="shared" ca="1" si="369"/>
        <v>0.4270000000000001</v>
      </c>
      <c r="T826" s="304">
        <f t="shared" ca="1" si="349"/>
        <v>4.1888700000000014</v>
      </c>
      <c r="U826" s="311">
        <f t="shared" ca="1" si="350"/>
        <v>0</v>
      </c>
      <c r="V826" s="306">
        <f t="shared" ca="1" si="351"/>
        <v>1.225653624597044</v>
      </c>
      <c r="W826" s="304">
        <f t="shared" ca="1" si="352"/>
        <v>3.5537145961338221</v>
      </c>
      <c r="Y826" s="314" t="str">
        <f t="shared" ca="1" si="370"/>
        <v/>
      </c>
      <c r="Z826" s="315" t="str">
        <f t="shared" ca="1" si="371"/>
        <v/>
      </c>
      <c r="AA826" s="316" t="str">
        <f t="shared" ca="1" si="372"/>
        <v/>
      </c>
      <c r="AC826" s="310" t="e">
        <f t="shared" ca="1" si="373"/>
        <v>#N/A</v>
      </c>
      <c r="AD826" s="323" t="e">
        <f t="shared" ca="1" si="374"/>
        <v>#N/A</v>
      </c>
      <c r="AE826" s="324" t="e">
        <f t="shared" ca="1" si="353"/>
        <v>#N/A</v>
      </c>
      <c r="AG826" s="306">
        <f t="shared" ca="1" si="375"/>
        <v>1.4626613273855718</v>
      </c>
      <c r="AH826" s="304">
        <f t="shared" ca="1" si="376"/>
        <v>-8.3224657705260441</v>
      </c>
    </row>
    <row r="827" spans="1:34" x14ac:dyDescent="0.3">
      <c r="A827" s="347">
        <f t="shared" ca="1" si="354"/>
        <v>1E-4</v>
      </c>
      <c r="B827" s="304">
        <f t="shared" ca="1" si="355"/>
        <v>16.14819999999985</v>
      </c>
      <c r="D827" s="306">
        <f t="shared" ca="1" si="356"/>
        <v>-0.59226329592627525</v>
      </c>
      <c r="E827" s="307">
        <f t="shared" ca="1" si="357"/>
        <v>-1.5085840331395808</v>
      </c>
      <c r="F827" s="304">
        <f t="shared" ca="1" si="358"/>
        <v>1.6206793627195781</v>
      </c>
      <c r="G827" s="306">
        <f t="shared" ca="1" si="359"/>
        <v>3.7257237016991258</v>
      </c>
      <c r="H827" s="307">
        <f t="shared" ca="1" si="360"/>
        <v>-52.222319783157459</v>
      </c>
      <c r="I827" s="304">
        <f t="shared" ca="1" si="361"/>
        <v>52.355054203350427</v>
      </c>
      <c r="J827" s="306">
        <f t="shared" ca="1" si="362"/>
        <v>150.09587023194715</v>
      </c>
      <c r="K827" s="307">
        <f t="shared" ca="1" si="363"/>
        <v>-5.3395101097853761</v>
      </c>
      <c r="L827" s="304">
        <f t="shared" ca="1" si="348"/>
        <v>150.1908140629713</v>
      </c>
      <c r="M827" s="306">
        <f t="shared" ca="1" si="364"/>
        <v>-1.4995734901075535</v>
      </c>
      <c r="N827" s="304">
        <f t="shared" ca="1" si="365"/>
        <v>-85.919232052865723</v>
      </c>
      <c r="P827" s="310">
        <f t="shared" ca="1" si="366"/>
        <v>23</v>
      </c>
      <c r="Q827" s="304">
        <f t="shared" ca="1" si="367"/>
        <v>0</v>
      </c>
      <c r="R827" s="306">
        <f t="shared" ca="1" si="368"/>
        <v>0</v>
      </c>
      <c r="S827" s="307">
        <f t="shared" ca="1" si="369"/>
        <v>0.4270000000000001</v>
      </c>
      <c r="T827" s="304">
        <f t="shared" ca="1" si="349"/>
        <v>4.1888700000000014</v>
      </c>
      <c r="U827" s="311">
        <f t="shared" ca="1" si="350"/>
        <v>0</v>
      </c>
      <c r="V827" s="306">
        <f t="shared" ca="1" si="351"/>
        <v>1.2256542646610873</v>
      </c>
      <c r="W827" s="304">
        <f t="shared" ca="1" si="352"/>
        <v>3.5537363076579136</v>
      </c>
      <c r="Y827" s="314" t="str">
        <f t="shared" ca="1" si="370"/>
        <v/>
      </c>
      <c r="Z827" s="315" t="str">
        <f t="shared" ca="1" si="371"/>
        <v/>
      </c>
      <c r="AA827" s="316" t="str">
        <f t="shared" ca="1" si="372"/>
        <v/>
      </c>
      <c r="AC827" s="310" t="e">
        <f t="shared" ca="1" si="373"/>
        <v>#N/A</v>
      </c>
      <c r="AD827" s="323" t="e">
        <f t="shared" ca="1" si="374"/>
        <v>#N/A</v>
      </c>
      <c r="AE827" s="324" t="e">
        <f t="shared" ca="1" si="353"/>
        <v>#N/A</v>
      </c>
      <c r="AG827" s="306">
        <f t="shared" ca="1" si="375"/>
        <v>1.4626114102527925</v>
      </c>
      <c r="AH827" s="304">
        <f t="shared" ca="1" si="376"/>
        <v>-8.3225166185803783</v>
      </c>
    </row>
    <row r="828" spans="1:34" x14ac:dyDescent="0.3">
      <c r="A828" s="347">
        <f t="shared" ca="1" si="354"/>
        <v>1E-4</v>
      </c>
      <c r="B828" s="304">
        <f t="shared" ca="1" si="355"/>
        <v>16.14829999999985</v>
      </c>
      <c r="D828" s="306">
        <f t="shared" ca="1" si="356"/>
        <v>-0.59225584494293415</v>
      </c>
      <c r="E828" s="307">
        <f t="shared" ca="1" si="357"/>
        <v>-1.5085325256543261</v>
      </c>
      <c r="F828" s="304">
        <f t="shared" ca="1" si="358"/>
        <v>1.6206286949286344</v>
      </c>
      <c r="G828" s="306">
        <f t="shared" ca="1" si="359"/>
        <v>3.7256644761146314</v>
      </c>
      <c r="H828" s="307">
        <f t="shared" ca="1" si="360"/>
        <v>-52.222470636410023</v>
      </c>
      <c r="I828" s="304">
        <f t="shared" ca="1" si="361"/>
        <v>52.355200459546417</v>
      </c>
      <c r="J828" s="306">
        <f t="shared" ca="1" si="362"/>
        <v>150.09587023194715</v>
      </c>
      <c r="K828" s="307">
        <f t="shared" ca="1" si="363"/>
        <v>-5.3447323493063541</v>
      </c>
      <c r="L828" s="304">
        <f t="shared" ca="1" si="348"/>
        <v>150.19099981214333</v>
      </c>
      <c r="M828" s="306">
        <f t="shared" ca="1" si="364"/>
        <v>-1.4995748235098896</v>
      </c>
      <c r="N828" s="304">
        <f t="shared" ca="1" si="365"/>
        <v>-85.919308451191966</v>
      </c>
      <c r="P828" s="310">
        <f t="shared" ca="1" si="366"/>
        <v>23</v>
      </c>
      <c r="Q828" s="304">
        <f t="shared" ca="1" si="367"/>
        <v>0</v>
      </c>
      <c r="R828" s="306">
        <f t="shared" ca="1" si="368"/>
        <v>0</v>
      </c>
      <c r="S828" s="307">
        <f t="shared" ca="1" si="369"/>
        <v>0.4270000000000001</v>
      </c>
      <c r="T828" s="304">
        <f t="shared" ca="1" si="349"/>
        <v>4.1888700000000014</v>
      </c>
      <c r="U828" s="311">
        <f t="shared" ca="1" si="350"/>
        <v>0</v>
      </c>
      <c r="V828" s="306">
        <f t="shared" ca="1" si="351"/>
        <v>1.2256549047273142</v>
      </c>
      <c r="W828" s="304">
        <f t="shared" ca="1" si="352"/>
        <v>3.5537580185869087</v>
      </c>
      <c r="Y828" s="314" t="str">
        <f t="shared" ca="1" si="370"/>
        <v/>
      </c>
      <c r="Z828" s="315" t="str">
        <f t="shared" ca="1" si="371"/>
        <v/>
      </c>
      <c r="AA828" s="316" t="str">
        <f t="shared" ca="1" si="372"/>
        <v/>
      </c>
      <c r="AC828" s="310" t="e">
        <f t="shared" ca="1" si="373"/>
        <v>#N/A</v>
      </c>
      <c r="AD828" s="323" t="e">
        <f t="shared" ca="1" si="374"/>
        <v>#N/A</v>
      </c>
      <c r="AE828" s="324" t="e">
        <f t="shared" ca="1" si="353"/>
        <v>#N/A</v>
      </c>
      <c r="AG828" s="306">
        <f t="shared" ca="1" si="375"/>
        <v>1.4625614944763132</v>
      </c>
      <c r="AH828" s="304">
        <f t="shared" ca="1" si="376"/>
        <v>-8.3225674652410131</v>
      </c>
    </row>
    <row r="829" spans="1:34" x14ac:dyDescent="0.3">
      <c r="A829" s="347">
        <f t="shared" ca="1" si="354"/>
        <v>1E-4</v>
      </c>
      <c r="B829" s="304">
        <f t="shared" ca="1" si="355"/>
        <v>16.14839999999985</v>
      </c>
      <c r="D829" s="306">
        <f t="shared" ca="1" si="356"/>
        <v>-0.59224839396192008</v>
      </c>
      <c r="E829" s="307">
        <f t="shared" ca="1" si="357"/>
        <v>-1.5084810195812821</v>
      </c>
      <c r="F829" s="304">
        <f t="shared" ca="1" si="358"/>
        <v>1.6205780285402669</v>
      </c>
      <c r="G829" s="306">
        <f t="shared" ca="1" si="359"/>
        <v>3.7256052512752351</v>
      </c>
      <c r="H829" s="307">
        <f t="shared" ca="1" si="360"/>
        <v>-52.222621484511983</v>
      </c>
      <c r="I829" s="304">
        <f t="shared" ca="1" si="361"/>
        <v>52.355346710750965</v>
      </c>
      <c r="J829" s="306">
        <f t="shared" ca="1" si="362"/>
        <v>150.09587023194715</v>
      </c>
      <c r="K829" s="307">
        <f t="shared" ca="1" si="363"/>
        <v>-5.3499546039124004</v>
      </c>
      <c r="L829" s="304">
        <f t="shared" ca="1" si="348"/>
        <v>150.19118574320345</v>
      </c>
      <c r="M829" s="306">
        <f t="shared" ca="1" si="364"/>
        <v>-1.4995761568835799</v>
      </c>
      <c r="N829" s="304">
        <f t="shared" ca="1" si="365"/>
        <v>-85.919384847876941</v>
      </c>
      <c r="P829" s="310">
        <f t="shared" ca="1" si="366"/>
        <v>23</v>
      </c>
      <c r="Q829" s="304">
        <f t="shared" ca="1" si="367"/>
        <v>0</v>
      </c>
      <c r="R829" s="306">
        <f t="shared" ca="1" si="368"/>
        <v>0</v>
      </c>
      <c r="S829" s="307">
        <f t="shared" ca="1" si="369"/>
        <v>0.4270000000000001</v>
      </c>
      <c r="T829" s="304">
        <f t="shared" ca="1" si="349"/>
        <v>4.1888700000000014</v>
      </c>
      <c r="U829" s="311">
        <f t="shared" ca="1" si="350"/>
        <v>0</v>
      </c>
      <c r="V829" s="306">
        <f t="shared" ca="1" si="351"/>
        <v>1.2256555447957245</v>
      </c>
      <c r="W829" s="304">
        <f t="shared" ca="1" si="352"/>
        <v>3.5537797289208193</v>
      </c>
      <c r="Y829" s="314" t="str">
        <f t="shared" ca="1" si="370"/>
        <v/>
      </c>
      <c r="Z829" s="315" t="str">
        <f t="shared" ca="1" si="371"/>
        <v/>
      </c>
      <c r="AA829" s="316" t="str">
        <f t="shared" ca="1" si="372"/>
        <v/>
      </c>
      <c r="AC829" s="310" t="e">
        <f t="shared" ca="1" si="373"/>
        <v>#N/A</v>
      </c>
      <c r="AD829" s="323" t="e">
        <f t="shared" ca="1" si="374"/>
        <v>#N/A</v>
      </c>
      <c r="AE829" s="324" t="e">
        <f t="shared" ca="1" si="353"/>
        <v>#N/A</v>
      </c>
      <c r="AG829" s="306">
        <f t="shared" ca="1" si="375"/>
        <v>1.462511580056109</v>
      </c>
      <c r="AH829" s="304">
        <f t="shared" ca="1" si="376"/>
        <v>-8.3226183105079805</v>
      </c>
    </row>
    <row r="830" spans="1:34" x14ac:dyDescent="0.3">
      <c r="A830" s="347">
        <f t="shared" ca="1" si="354"/>
        <v>1E-4</v>
      </c>
      <c r="B830" s="304">
        <f t="shared" ca="1" si="355"/>
        <v>16.148499999999849</v>
      </c>
      <c r="D830" s="306">
        <f t="shared" ca="1" si="356"/>
        <v>-0.59224094298323582</v>
      </c>
      <c r="E830" s="307">
        <f t="shared" ca="1" si="357"/>
        <v>-1.5084295149204223</v>
      </c>
      <c r="F830" s="304">
        <f t="shared" ca="1" si="358"/>
        <v>1.6205273635544488</v>
      </c>
      <c r="G830" s="306">
        <f t="shared" ca="1" si="359"/>
        <v>3.7255460271809366</v>
      </c>
      <c r="H830" s="307">
        <f t="shared" ca="1" si="360"/>
        <v>-52.222772327463474</v>
      </c>
      <c r="I830" s="304">
        <f t="shared" ca="1" si="361"/>
        <v>52.355492956964206</v>
      </c>
      <c r="J830" s="306">
        <f t="shared" ca="1" si="362"/>
        <v>150.09587023194715</v>
      </c>
      <c r="K830" s="307">
        <f t="shared" ca="1" si="363"/>
        <v>-5.355176873602999</v>
      </c>
      <c r="L830" s="304">
        <f t="shared" ca="1" si="348"/>
        <v>150.19137185615256</v>
      </c>
      <c r="M830" s="306">
        <f t="shared" ca="1" si="364"/>
        <v>-1.4995774902286252</v>
      </c>
      <c r="N830" s="304">
        <f t="shared" ca="1" si="365"/>
        <v>-85.919461242920676</v>
      </c>
      <c r="P830" s="310">
        <f t="shared" ca="1" si="366"/>
        <v>23</v>
      </c>
      <c r="Q830" s="304">
        <f t="shared" ca="1" si="367"/>
        <v>0</v>
      </c>
      <c r="R830" s="306">
        <f t="shared" ca="1" si="368"/>
        <v>0</v>
      </c>
      <c r="S830" s="307">
        <f t="shared" ca="1" si="369"/>
        <v>0.4270000000000001</v>
      </c>
      <c r="T830" s="304">
        <f t="shared" ca="1" si="349"/>
        <v>4.1888700000000014</v>
      </c>
      <c r="U830" s="311">
        <f t="shared" ca="1" si="350"/>
        <v>0</v>
      </c>
      <c r="V830" s="306">
        <f t="shared" ca="1" si="351"/>
        <v>1.2256561848663174</v>
      </c>
      <c r="W830" s="304">
        <f t="shared" ca="1" si="352"/>
        <v>3.5538014386596553</v>
      </c>
      <c r="Y830" s="314" t="str">
        <f t="shared" ca="1" si="370"/>
        <v/>
      </c>
      <c r="Z830" s="315" t="str">
        <f t="shared" ca="1" si="371"/>
        <v/>
      </c>
      <c r="AA830" s="316" t="str">
        <f t="shared" ca="1" si="372"/>
        <v/>
      </c>
      <c r="AC830" s="310" t="e">
        <f t="shared" ca="1" si="373"/>
        <v>#N/A</v>
      </c>
      <c r="AD830" s="323" t="e">
        <f t="shared" ca="1" si="374"/>
        <v>#N/A</v>
      </c>
      <c r="AE830" s="324" t="e">
        <f t="shared" ca="1" si="353"/>
        <v>#N/A</v>
      </c>
      <c r="AG830" s="306">
        <f t="shared" ca="1" si="375"/>
        <v>1.4624616669921462</v>
      </c>
      <c r="AH830" s="304">
        <f t="shared" ca="1" si="376"/>
        <v>-8.3226691543813072</v>
      </c>
    </row>
    <row r="831" spans="1:34" x14ac:dyDescent="0.3">
      <c r="A831" s="347">
        <f t="shared" ca="1" si="354"/>
        <v>1E-4</v>
      </c>
      <c r="B831" s="304">
        <f t="shared" ca="1" si="355"/>
        <v>16.148599999999849</v>
      </c>
      <c r="D831" s="306">
        <f t="shared" ca="1" si="356"/>
        <v>-0.59223349200688735</v>
      </c>
      <c r="E831" s="307">
        <f t="shared" ca="1" si="357"/>
        <v>-1.50837801167172</v>
      </c>
      <c r="F831" s="304">
        <f t="shared" ca="1" si="358"/>
        <v>1.6204766999711546</v>
      </c>
      <c r="G831" s="306">
        <f t="shared" ca="1" si="359"/>
        <v>3.7254868038317359</v>
      </c>
      <c r="H831" s="307">
        <f t="shared" ca="1" si="360"/>
        <v>-52.222923165264639</v>
      </c>
      <c r="I831" s="304">
        <f t="shared" ca="1" si="361"/>
        <v>52.355639198186267</v>
      </c>
      <c r="J831" s="306">
        <f t="shared" ca="1" si="362"/>
        <v>150.09587023194715</v>
      </c>
      <c r="K831" s="307">
        <f t="shared" ca="1" si="363"/>
        <v>-5.3603991583776356</v>
      </c>
      <c r="L831" s="304">
        <f t="shared" ca="1" si="348"/>
        <v>150.19155815099148</v>
      </c>
      <c r="M831" s="306">
        <f t="shared" ca="1" si="364"/>
        <v>-1.4995788235450263</v>
      </c>
      <c r="N831" s="304">
        <f t="shared" ca="1" si="365"/>
        <v>-85.919537636323213</v>
      </c>
      <c r="P831" s="310">
        <f t="shared" ca="1" si="366"/>
        <v>23</v>
      </c>
      <c r="Q831" s="304">
        <f t="shared" ca="1" si="367"/>
        <v>0</v>
      </c>
      <c r="R831" s="306">
        <f t="shared" ca="1" si="368"/>
        <v>0</v>
      </c>
      <c r="S831" s="307">
        <f t="shared" ca="1" si="369"/>
        <v>0.4270000000000001</v>
      </c>
      <c r="T831" s="304">
        <f t="shared" ca="1" si="349"/>
        <v>4.1888700000000014</v>
      </c>
      <c r="U831" s="311">
        <f t="shared" ca="1" si="350"/>
        <v>0</v>
      </c>
      <c r="V831" s="306">
        <f t="shared" ca="1" si="351"/>
        <v>1.2256568249390938</v>
      </c>
      <c r="W831" s="304">
        <f t="shared" ca="1" si="352"/>
        <v>3.5538231478034294</v>
      </c>
      <c r="Y831" s="314" t="str">
        <f t="shared" ca="1" si="370"/>
        <v/>
      </c>
      <c r="Z831" s="315" t="str">
        <f t="shared" ca="1" si="371"/>
        <v/>
      </c>
      <c r="AA831" s="316" t="str">
        <f t="shared" ca="1" si="372"/>
        <v/>
      </c>
      <c r="AC831" s="310" t="e">
        <f t="shared" ca="1" si="373"/>
        <v>#N/A</v>
      </c>
      <c r="AD831" s="323" t="e">
        <f t="shared" ca="1" si="374"/>
        <v>#N/A</v>
      </c>
      <c r="AE831" s="324" t="e">
        <f t="shared" ca="1" si="353"/>
        <v>#N/A</v>
      </c>
      <c r="AG831" s="306">
        <f t="shared" ca="1" si="375"/>
        <v>1.4624117552844105</v>
      </c>
      <c r="AH831" s="304">
        <f t="shared" ca="1" si="376"/>
        <v>-8.3227199968610179</v>
      </c>
    </row>
    <row r="832" spans="1:34" x14ac:dyDescent="0.3">
      <c r="A832" s="347">
        <f t="shared" ca="1" si="354"/>
        <v>1E-4</v>
      </c>
      <c r="B832" s="304">
        <f t="shared" ca="1" si="355"/>
        <v>16.148699999999849</v>
      </c>
      <c r="D832" s="306">
        <f t="shared" ca="1" si="356"/>
        <v>-0.59222604103287924</v>
      </c>
      <c r="E832" s="307">
        <f t="shared" ca="1" si="357"/>
        <v>-1.5083265098351504</v>
      </c>
      <c r="F832" s="304">
        <f t="shared" ca="1" si="358"/>
        <v>1.6204260377903594</v>
      </c>
      <c r="G832" s="306">
        <f t="shared" ca="1" si="359"/>
        <v>3.7254275812276325</v>
      </c>
      <c r="H832" s="307">
        <f t="shared" ca="1" si="360"/>
        <v>-52.22307399791562</v>
      </c>
      <c r="I832" s="304">
        <f t="shared" ca="1" si="361"/>
        <v>52.355785434417299</v>
      </c>
      <c r="J832" s="306">
        <f t="shared" ca="1" si="362"/>
        <v>150.09587023194715</v>
      </c>
      <c r="K832" s="307">
        <f t="shared" ca="1" si="363"/>
        <v>-5.3656214582357942</v>
      </c>
      <c r="L832" s="304">
        <f t="shared" ca="1" si="348"/>
        <v>150.19174462772114</v>
      </c>
      <c r="M832" s="306">
        <f t="shared" ca="1" si="364"/>
        <v>-1.499580156832784</v>
      </c>
      <c r="N832" s="304">
        <f t="shared" ca="1" si="365"/>
        <v>-85.919614028084609</v>
      </c>
      <c r="P832" s="310">
        <f t="shared" ca="1" si="366"/>
        <v>23</v>
      </c>
      <c r="Q832" s="304">
        <f t="shared" ca="1" si="367"/>
        <v>0</v>
      </c>
      <c r="R832" s="306">
        <f t="shared" ca="1" si="368"/>
        <v>0</v>
      </c>
      <c r="S832" s="307">
        <f t="shared" ca="1" si="369"/>
        <v>0.4270000000000001</v>
      </c>
      <c r="T832" s="304">
        <f t="shared" ca="1" si="349"/>
        <v>4.1888700000000014</v>
      </c>
      <c r="U832" s="311">
        <f t="shared" ca="1" si="350"/>
        <v>0</v>
      </c>
      <c r="V832" s="306">
        <f t="shared" ca="1" si="351"/>
        <v>1.2256574650140535</v>
      </c>
      <c r="W832" s="304">
        <f t="shared" ca="1" si="352"/>
        <v>3.5538448563521552</v>
      </c>
      <c r="Y832" s="314" t="str">
        <f t="shared" ca="1" si="370"/>
        <v/>
      </c>
      <c r="Z832" s="315" t="str">
        <f t="shared" ca="1" si="371"/>
        <v/>
      </c>
      <c r="AA832" s="316" t="str">
        <f t="shared" ca="1" si="372"/>
        <v/>
      </c>
      <c r="AC832" s="310" t="e">
        <f t="shared" ca="1" si="373"/>
        <v>#N/A</v>
      </c>
      <c r="AD832" s="323" t="e">
        <f t="shared" ca="1" si="374"/>
        <v>#N/A</v>
      </c>
      <c r="AE832" s="324" t="e">
        <f t="shared" ca="1" si="353"/>
        <v>#N/A</v>
      </c>
      <c r="AG832" s="306">
        <f t="shared" ca="1" si="375"/>
        <v>1.4623618449328699</v>
      </c>
      <c r="AH832" s="304">
        <f t="shared" ca="1" si="376"/>
        <v>-8.3227708379471395</v>
      </c>
    </row>
    <row r="833" spans="1:34" x14ac:dyDescent="0.3">
      <c r="A833" s="347">
        <f t="shared" ca="1" si="354"/>
        <v>1E-4</v>
      </c>
      <c r="B833" s="304">
        <f t="shared" ca="1" si="355"/>
        <v>16.148799999999849</v>
      </c>
      <c r="D833" s="306">
        <f t="shared" ca="1" si="356"/>
        <v>-0.59221859006121635</v>
      </c>
      <c r="E833" s="307">
        <f t="shared" ca="1" si="357"/>
        <v>-1.5082750094106778</v>
      </c>
      <c r="F833" s="304">
        <f t="shared" ca="1" si="358"/>
        <v>1.6203753770120291</v>
      </c>
      <c r="G833" s="306">
        <f t="shared" ca="1" si="359"/>
        <v>3.7253683593686264</v>
      </c>
      <c r="H833" s="307">
        <f t="shared" ca="1" si="360"/>
        <v>-52.223224825416558</v>
      </c>
      <c r="I833" s="304">
        <f t="shared" ca="1" si="361"/>
        <v>52.355931665657423</v>
      </c>
      <c r="J833" s="306">
        <f t="shared" ca="1" si="362"/>
        <v>150.09587023194715</v>
      </c>
      <c r="K833" s="307">
        <f t="shared" ca="1" si="363"/>
        <v>-5.3708437731769605</v>
      </c>
      <c r="L833" s="304">
        <f t="shared" ca="1" si="348"/>
        <v>150.19193128634237</v>
      </c>
      <c r="M833" s="306">
        <f t="shared" ca="1" si="364"/>
        <v>-1.4995814900918991</v>
      </c>
      <c r="N833" s="304">
        <f t="shared" ca="1" si="365"/>
        <v>-85.919690418204894</v>
      </c>
      <c r="P833" s="310">
        <f t="shared" ca="1" si="366"/>
        <v>23</v>
      </c>
      <c r="Q833" s="304">
        <f t="shared" ca="1" si="367"/>
        <v>0</v>
      </c>
      <c r="R833" s="306">
        <f t="shared" ca="1" si="368"/>
        <v>0</v>
      </c>
      <c r="S833" s="307">
        <f t="shared" ca="1" si="369"/>
        <v>0.4270000000000001</v>
      </c>
      <c r="T833" s="304">
        <f t="shared" ca="1" si="349"/>
        <v>4.1888700000000014</v>
      </c>
      <c r="U833" s="311">
        <f t="shared" ca="1" si="350"/>
        <v>0</v>
      </c>
      <c r="V833" s="306">
        <f t="shared" ca="1" si="351"/>
        <v>1.2256581050911959</v>
      </c>
      <c r="W833" s="304">
        <f t="shared" ca="1" si="352"/>
        <v>3.5538665643058414</v>
      </c>
      <c r="Y833" s="314" t="str">
        <f t="shared" ca="1" si="370"/>
        <v/>
      </c>
      <c r="Z833" s="315" t="str">
        <f t="shared" ca="1" si="371"/>
        <v/>
      </c>
      <c r="AA833" s="316" t="str">
        <f t="shared" ca="1" si="372"/>
        <v/>
      </c>
      <c r="AC833" s="310" t="e">
        <f t="shared" ca="1" si="373"/>
        <v>#N/A</v>
      </c>
      <c r="AD833" s="323" t="e">
        <f t="shared" ca="1" si="374"/>
        <v>#N/A</v>
      </c>
      <c r="AE833" s="324" t="e">
        <f t="shared" ca="1" si="353"/>
        <v>#N/A</v>
      </c>
      <c r="AG833" s="306">
        <f t="shared" ca="1" si="375"/>
        <v>1.4623119359374943</v>
      </c>
      <c r="AH833" s="304">
        <f t="shared" ca="1" si="376"/>
        <v>-8.3228216776397055</v>
      </c>
    </row>
    <row r="834" spans="1:34" x14ac:dyDescent="0.3">
      <c r="A834" s="347">
        <f t="shared" ca="1" si="354"/>
        <v>1E-4</v>
      </c>
      <c r="B834" s="304">
        <f t="shared" ca="1" si="355"/>
        <v>16.148899999999848</v>
      </c>
      <c r="D834" s="306">
        <f t="shared" ca="1" si="356"/>
        <v>-0.59221113909190504</v>
      </c>
      <c r="E834" s="307">
        <f t="shared" ca="1" si="357"/>
        <v>-1.5082235103982793</v>
      </c>
      <c r="F834" s="304">
        <f t="shared" ca="1" si="358"/>
        <v>1.6203247176361411</v>
      </c>
      <c r="G834" s="306">
        <f t="shared" ca="1" si="359"/>
        <v>3.7253091382547172</v>
      </c>
      <c r="H834" s="307">
        <f t="shared" ca="1" si="360"/>
        <v>-52.223375647767597</v>
      </c>
      <c r="I834" s="304">
        <f t="shared" ca="1" si="361"/>
        <v>52.356077891906779</v>
      </c>
      <c r="J834" s="306">
        <f t="shared" ca="1" si="362"/>
        <v>150.09587023194715</v>
      </c>
      <c r="K834" s="307">
        <f t="shared" ca="1" si="363"/>
        <v>-5.3760661032006194</v>
      </c>
      <c r="L834" s="304">
        <f t="shared" ca="1" si="348"/>
        <v>150.19211812685612</v>
      </c>
      <c r="M834" s="306">
        <f t="shared" ca="1" si="364"/>
        <v>-1.4995828233223725</v>
      </c>
      <c r="N834" s="304">
        <f t="shared" ca="1" si="365"/>
        <v>-85.919766806684137</v>
      </c>
      <c r="P834" s="310">
        <f t="shared" ca="1" si="366"/>
        <v>23</v>
      </c>
      <c r="Q834" s="304">
        <f t="shared" ca="1" si="367"/>
        <v>0</v>
      </c>
      <c r="R834" s="306">
        <f t="shared" ca="1" si="368"/>
        <v>0</v>
      </c>
      <c r="S834" s="307">
        <f t="shared" ca="1" si="369"/>
        <v>0.4270000000000001</v>
      </c>
      <c r="T834" s="304">
        <f t="shared" ca="1" si="349"/>
        <v>4.1888700000000014</v>
      </c>
      <c r="U834" s="311">
        <f t="shared" ca="1" si="350"/>
        <v>0</v>
      </c>
      <c r="V834" s="306">
        <f t="shared" ca="1" si="351"/>
        <v>1.225658745170521</v>
      </c>
      <c r="W834" s="304">
        <f t="shared" ca="1" si="352"/>
        <v>3.5538882716644986</v>
      </c>
      <c r="Y834" s="314" t="str">
        <f t="shared" ca="1" si="370"/>
        <v/>
      </c>
      <c r="Z834" s="315" t="str">
        <f t="shared" ca="1" si="371"/>
        <v/>
      </c>
      <c r="AA834" s="316" t="str">
        <f t="shared" ca="1" si="372"/>
        <v/>
      </c>
      <c r="AC834" s="310" t="e">
        <f t="shared" ca="1" si="373"/>
        <v>#N/A</v>
      </c>
      <c r="AD834" s="323" t="e">
        <f t="shared" ca="1" si="374"/>
        <v>#N/A</v>
      </c>
      <c r="AE834" s="324" t="e">
        <f t="shared" ca="1" si="353"/>
        <v>#N/A</v>
      </c>
      <c r="AG834" s="306">
        <f t="shared" ca="1" si="375"/>
        <v>1.4622620282982677</v>
      </c>
      <c r="AH834" s="304">
        <f t="shared" ca="1" si="376"/>
        <v>-8.3228725159387373</v>
      </c>
    </row>
    <row r="835" spans="1:34" x14ac:dyDescent="0.3">
      <c r="A835" s="347">
        <f t="shared" ca="1" si="354"/>
        <v>1E-4</v>
      </c>
      <c r="B835" s="304">
        <f t="shared" ca="1" si="355"/>
        <v>16.148999999999848</v>
      </c>
      <c r="D835" s="306">
        <f t="shared" ca="1" si="356"/>
        <v>-0.59220368812494928</v>
      </c>
      <c r="E835" s="307">
        <f t="shared" ca="1" si="357"/>
        <v>-1.5081720127979352</v>
      </c>
      <c r="F835" s="304">
        <f t="shared" ca="1" si="358"/>
        <v>1.6202740596626755</v>
      </c>
      <c r="G835" s="306">
        <f t="shared" ca="1" si="359"/>
        <v>3.7252499178859049</v>
      </c>
      <c r="H835" s="307">
        <f t="shared" ca="1" si="360"/>
        <v>-52.223526464968877</v>
      </c>
      <c r="I835" s="304">
        <f t="shared" ca="1" si="361"/>
        <v>52.35622411316551</v>
      </c>
      <c r="J835" s="306">
        <f t="shared" ca="1" si="362"/>
        <v>150.09587023194715</v>
      </c>
      <c r="K835" s="307">
        <f t="shared" ca="1" si="363"/>
        <v>-5.3812884483062566</v>
      </c>
      <c r="L835" s="304">
        <f t="shared" ca="1" si="348"/>
        <v>150.19230514926321</v>
      </c>
      <c r="M835" s="306">
        <f t="shared" ca="1" si="364"/>
        <v>-1.499584156524205</v>
      </c>
      <c r="N835" s="304">
        <f t="shared" ca="1" si="365"/>
        <v>-85.919843193522382</v>
      </c>
      <c r="P835" s="310">
        <f t="shared" ca="1" si="366"/>
        <v>23</v>
      </c>
      <c r="Q835" s="304">
        <f t="shared" ca="1" si="367"/>
        <v>0</v>
      </c>
      <c r="R835" s="306">
        <f t="shared" ca="1" si="368"/>
        <v>0</v>
      </c>
      <c r="S835" s="307">
        <f t="shared" ca="1" si="369"/>
        <v>0.4270000000000001</v>
      </c>
      <c r="T835" s="304">
        <f t="shared" ca="1" si="349"/>
        <v>4.1888700000000014</v>
      </c>
      <c r="U835" s="311">
        <f t="shared" ca="1" si="350"/>
        <v>0</v>
      </c>
      <c r="V835" s="306">
        <f t="shared" ca="1" si="351"/>
        <v>1.2256593852520294</v>
      </c>
      <c r="W835" s="304">
        <f t="shared" ca="1" si="352"/>
        <v>3.5539099784281434</v>
      </c>
      <c r="Y835" s="314" t="str">
        <f t="shared" ca="1" si="370"/>
        <v/>
      </c>
      <c r="Z835" s="315" t="str">
        <f t="shared" ca="1" si="371"/>
        <v/>
      </c>
      <c r="AA835" s="316" t="str">
        <f t="shared" ca="1" si="372"/>
        <v/>
      </c>
      <c r="AC835" s="310" t="e">
        <f t="shared" ca="1" si="373"/>
        <v>#N/A</v>
      </c>
      <c r="AD835" s="323" t="e">
        <f t="shared" ca="1" si="374"/>
        <v>#N/A</v>
      </c>
      <c r="AE835" s="324" t="e">
        <f t="shared" ca="1" si="353"/>
        <v>#N/A</v>
      </c>
      <c r="AG835" s="306">
        <f t="shared" ca="1" si="375"/>
        <v>1.4622121220151687</v>
      </c>
      <c r="AH835" s="304">
        <f t="shared" ca="1" si="376"/>
        <v>-8.3229233528442563</v>
      </c>
    </row>
    <row r="836" spans="1:34" x14ac:dyDescent="0.3">
      <c r="A836" s="347">
        <f t="shared" ca="1" si="354"/>
        <v>1E-4</v>
      </c>
      <c r="B836" s="304">
        <f t="shared" ca="1" si="355"/>
        <v>16.149099999999848</v>
      </c>
      <c r="D836" s="306">
        <f t="shared" ca="1" si="356"/>
        <v>-0.59219623716035463</v>
      </c>
      <c r="E836" s="307">
        <f t="shared" ca="1" si="357"/>
        <v>-1.508120516609603</v>
      </c>
      <c r="F836" s="304">
        <f t="shared" ca="1" si="358"/>
        <v>1.6202234030915916</v>
      </c>
      <c r="G836" s="306">
        <f t="shared" ca="1" si="359"/>
        <v>3.725190698262189</v>
      </c>
      <c r="H836" s="307">
        <f t="shared" ca="1" si="360"/>
        <v>-52.223677277020535</v>
      </c>
      <c r="I836" s="304">
        <f t="shared" ca="1" si="361"/>
        <v>52.356370329433737</v>
      </c>
      <c r="J836" s="306">
        <f t="shared" ca="1" si="362"/>
        <v>150.09587023194715</v>
      </c>
      <c r="K836" s="307">
        <f t="shared" ca="1" si="363"/>
        <v>-5.3865108084933562</v>
      </c>
      <c r="L836" s="304">
        <f t="shared" ref="L836:L899" ca="1" si="377">SQRT(pos_x^2+pos_z^2)</f>
        <v>150.19249235356452</v>
      </c>
      <c r="M836" s="306">
        <f t="shared" ca="1" si="364"/>
        <v>-1.4995854896973972</v>
      </c>
      <c r="N836" s="304">
        <f t="shared" ca="1" si="365"/>
        <v>-85.919919578719657</v>
      </c>
      <c r="P836" s="310">
        <f t="shared" ca="1" si="366"/>
        <v>23</v>
      </c>
      <c r="Q836" s="304">
        <f t="shared" ca="1" si="367"/>
        <v>0</v>
      </c>
      <c r="R836" s="306">
        <f t="shared" ca="1" si="368"/>
        <v>0</v>
      </c>
      <c r="S836" s="307">
        <f t="shared" ca="1" si="369"/>
        <v>0.4270000000000001</v>
      </c>
      <c r="T836" s="304">
        <f t="shared" ref="T836:T899" ca="1" si="378">m*g</f>
        <v>4.1888700000000014</v>
      </c>
      <c r="U836" s="311">
        <f t="shared" ref="U836:U899" ca="1" si="379">IF(pos_xz&lt;L_rampe,Poids*COS(Beta),0)</f>
        <v>0</v>
      </c>
      <c r="V836" s="306">
        <f t="shared" ref="V836:V899" ca="1" si="380">Rho_moyen*(20000-Alt_rampe-pos_z)/(20000+Alt_rampe+pos_z)</f>
        <v>1.2256600253357208</v>
      </c>
      <c r="W836" s="304">
        <f t="shared" ref="W836:W899" ca="1" si="381">1/2*Rho*Sref*Cx*vit_xz^2</f>
        <v>3.5539316845967841</v>
      </c>
      <c r="Y836" s="314" t="str">
        <f t="shared" ca="1" si="370"/>
        <v/>
      </c>
      <c r="Z836" s="315" t="str">
        <f t="shared" ca="1" si="371"/>
        <v/>
      </c>
      <c r="AA836" s="316" t="str">
        <f t="shared" ca="1" si="372"/>
        <v/>
      </c>
      <c r="AC836" s="310" t="e">
        <f t="shared" ca="1" si="373"/>
        <v>#N/A</v>
      </c>
      <c r="AD836" s="323" t="e">
        <f t="shared" ca="1" si="374"/>
        <v>#N/A</v>
      </c>
      <c r="AE836" s="324" t="e">
        <f t="shared" ref="AE836:AE899" ca="1" si="382">IF(t&lt;T_para, pos_z, NA())</f>
        <v>#N/A</v>
      </c>
      <c r="AG836" s="306">
        <f t="shared" ca="1" si="375"/>
        <v>1.462162217088153</v>
      </c>
      <c r="AH836" s="304">
        <f t="shared" ca="1" si="376"/>
        <v>-8.3229741883563051</v>
      </c>
    </row>
    <row r="837" spans="1:34" x14ac:dyDescent="0.3">
      <c r="A837" s="347">
        <f t="shared" ref="A837:A900" ca="1" si="383">IF(B836+0.01&lt;=T_ini+ROUNDUP(Temps_fin_propu,0), 0.01, IF(K836&gt;0, 0.1, 0.0001))</f>
        <v>1E-4</v>
      </c>
      <c r="B837" s="304">
        <f t="shared" ref="B837:B900" ca="1" si="384">B836+pas</f>
        <v>16.149199999999848</v>
      </c>
      <c r="D837" s="306">
        <f t="shared" ref="D837:D900" ca="1" si="385">IF(AND(L836&lt;L_rampe,Poussee&lt;Poids*SIN(M836)),0,(-W836+Poussee)/m*COS(M836)-U836/m*SIN(M836))</f>
        <v>-0.59218878619812687</v>
      </c>
      <c r="E837" s="307">
        <f t="shared" ref="E837:E900" ca="1" si="386">IF(AND(L836&lt;L_rampe,Poussee&lt;Poids*SIN(M836)),0,(-W836+Poussee)/m*SIN(M836)+U836/m*COS(M836)-Poids/m)</f>
        <v>-1.5080690218332631</v>
      </c>
      <c r="F837" s="304">
        <f t="shared" ref="F837:F900" ca="1" si="387">SQRT(acc_x^2+acc_z^2)</f>
        <v>1.6201727479228707</v>
      </c>
      <c r="G837" s="306">
        <f t="shared" ref="G837:G900" ca="1" si="388">G836+acc_x*pas</f>
        <v>3.725131479383569</v>
      </c>
      <c r="H837" s="307">
        <f t="shared" ref="H837:H900" ca="1" si="389">H836+acc_z*pas</f>
        <v>-52.223828083922719</v>
      </c>
      <c r="I837" s="304">
        <f t="shared" ref="I837:I900" ca="1" si="390">SQRT(vit_x^2+vit_z^2)</f>
        <v>52.356516540711624</v>
      </c>
      <c r="J837" s="306">
        <f t="shared" ref="J837:J900" ca="1" si="391">J836+0.5*(vit_x+G836)*pas*(K836&gt;=0)</f>
        <v>150.09587023194715</v>
      </c>
      <c r="K837" s="307">
        <f t="shared" ref="K837:K900" ca="1" si="392">K836+0.5*(vit_z+H836)*pas</f>
        <v>-5.3917331837614038</v>
      </c>
      <c r="L837" s="304">
        <f t="shared" ca="1" si="377"/>
        <v>150.19267973976093</v>
      </c>
      <c r="M837" s="306">
        <f t="shared" ref="M837:M900" ca="1" si="393">IF(AND(L836&gt;L_rampe,G837&gt;0),ATAN2(G837,H837),$M$4)</f>
        <v>-1.4995868228419504</v>
      </c>
      <c r="N837" s="304">
        <f t="shared" ref="N837:N900" ca="1" si="394">DEGREES(Beta)</f>
        <v>-85.919995962276033</v>
      </c>
      <c r="P837" s="310">
        <f t="shared" ref="P837:P900" ca="1" si="395">MATCH(t-pas/2-T_ini,CdP_t)</f>
        <v>23</v>
      </c>
      <c r="Q837" s="304">
        <f t="shared" ref="Q837:Q900" ca="1" si="396">(INDEX(CdP,2,i_P+1)-INDEX(CdP,2,i_P+0))/(INDEX(CdP,1,i_P+1)-INDEX(CdP,1,i_P+0))*(t-pas/2-T_ini-INDEX(CdP,1,i_P+0))+INDEX(CdP,2,i_P+0)</f>
        <v>0</v>
      </c>
      <c r="R837" s="306">
        <f t="shared" ref="R837:R900" ca="1" si="397">Poussee/(g*ISP)</f>
        <v>0</v>
      </c>
      <c r="S837" s="307">
        <f t="shared" ref="S837:S900" ca="1" si="398">S836-Débit*pas</f>
        <v>0.4270000000000001</v>
      </c>
      <c r="T837" s="304">
        <f t="shared" ca="1" si="378"/>
        <v>4.1888700000000014</v>
      </c>
      <c r="U837" s="311">
        <f t="shared" ca="1" si="379"/>
        <v>0</v>
      </c>
      <c r="V837" s="306">
        <f t="shared" ca="1" si="380"/>
        <v>1.2256606654215947</v>
      </c>
      <c r="W837" s="304">
        <f t="shared" ca="1" si="381"/>
        <v>3.553953390170435</v>
      </c>
      <c r="Y837" s="314" t="str">
        <f t="shared" ref="Y837:Y900" ca="1" si="399">IF(AND(pos_z&lt;=0,K836&gt;0),"Impact balistique","") &amp; IF(AND(H838&lt;0,vit_z&gt;=0),"Apogée","") &amp; IF(AND(Poussee=0,Q836&gt;0),"Fin de propulsion","") &amp; IF(AND(L838&gt;L_rampe,pos_xz&lt;=L_rampe),"Sortie de rampe","")</f>
        <v/>
      </c>
      <c r="Z837" s="315" t="str">
        <f t="shared" ref="Z837:Z900" ca="1" si="400">IF(ABS(t-T_para)&lt;pas/2,"Para","")</f>
        <v/>
      </c>
      <c r="AA837" s="316" t="str">
        <f t="shared" ref="AA837:AA900" ca="1" si="401">IF(ABS(t-T_satellite)&lt;pas/2,"Satellite","")</f>
        <v/>
      </c>
      <c r="AC837" s="310" t="e">
        <f t="shared" ref="AC837:AC900" ca="1" si="402">IF(ABS(t-ROUND(t,0))&lt;0.001,t,NA())</f>
        <v>#N/A</v>
      </c>
      <c r="AD837" s="323" t="e">
        <f t="shared" ref="AD837:AD900" ca="1" si="403">IF(ABS(t-ROUND(t,0))&lt;0.001,pos_x,NA())</f>
        <v>#N/A</v>
      </c>
      <c r="AE837" s="324" t="e">
        <f t="shared" ca="1" si="382"/>
        <v>#N/A</v>
      </c>
      <c r="AG837" s="306">
        <f t="shared" ref="AG837:AG900" ca="1" si="404">IF(AND(L836&lt;L_rampe,Poussee&lt;Poids*SIN(M836)),0,(-W836+Poussee)/m-Poids*SIN(M836)/m)</f>
        <v>1.4621123135172063</v>
      </c>
      <c r="AH837" s="304">
        <f t="shared" ref="AH837:AH900" ca="1" si="405">IF(AND(L836&lt;L_rampe,Poussee&lt;Poids*SIN(M836)), g*SIN(M836), (-W836+Poussee)/m)</f>
        <v>-8.3230250224749014</v>
      </c>
    </row>
    <row r="838" spans="1:34" x14ac:dyDescent="0.3">
      <c r="A838" s="347">
        <f t="shared" ca="1" si="383"/>
        <v>1E-4</v>
      </c>
      <c r="B838" s="304">
        <f t="shared" ca="1" si="384"/>
        <v>16.149299999999847</v>
      </c>
      <c r="D838" s="306">
        <f t="shared" ca="1" si="385"/>
        <v>-0.59218133523826921</v>
      </c>
      <c r="E838" s="307">
        <f t="shared" ca="1" si="386"/>
        <v>-1.5080175284688799</v>
      </c>
      <c r="F838" s="304">
        <f t="shared" ca="1" si="387"/>
        <v>1.6201220941564769</v>
      </c>
      <c r="G838" s="306">
        <f t="shared" ca="1" si="388"/>
        <v>3.7250722612500451</v>
      </c>
      <c r="H838" s="307">
        <f t="shared" ca="1" si="389"/>
        <v>-52.223978885675564</v>
      </c>
      <c r="I838" s="304">
        <f t="shared" ca="1" si="390"/>
        <v>52.356662746999277</v>
      </c>
      <c r="J838" s="306">
        <f t="shared" ca="1" si="391"/>
        <v>150.09587023194715</v>
      </c>
      <c r="K838" s="307">
        <f t="shared" ca="1" si="392"/>
        <v>-5.3969555741098834</v>
      </c>
      <c r="L838" s="304">
        <f t="shared" ca="1" si="377"/>
        <v>150.19286730785331</v>
      </c>
      <c r="M838" s="306">
        <f t="shared" ca="1" si="393"/>
        <v>-1.499588155957865</v>
      </c>
      <c r="N838" s="304">
        <f t="shared" ca="1" si="394"/>
        <v>-85.920072344191539</v>
      </c>
      <c r="P838" s="310">
        <f t="shared" ca="1" si="395"/>
        <v>23</v>
      </c>
      <c r="Q838" s="304">
        <f t="shared" ca="1" si="396"/>
        <v>0</v>
      </c>
      <c r="R838" s="306">
        <f t="shared" ca="1" si="397"/>
        <v>0</v>
      </c>
      <c r="S838" s="307">
        <f t="shared" ca="1" si="398"/>
        <v>0.4270000000000001</v>
      </c>
      <c r="T838" s="304">
        <f t="shared" ca="1" si="378"/>
        <v>4.1888700000000014</v>
      </c>
      <c r="U838" s="311">
        <f t="shared" ca="1" si="379"/>
        <v>0</v>
      </c>
      <c r="V838" s="306">
        <f t="shared" ca="1" si="380"/>
        <v>1.2256613055096515</v>
      </c>
      <c r="W838" s="304">
        <f t="shared" ca="1" si="381"/>
        <v>3.5539750951491045</v>
      </c>
      <c r="Y838" s="314" t="str">
        <f t="shared" ca="1" si="399"/>
        <v/>
      </c>
      <c r="Z838" s="315" t="str">
        <f t="shared" ca="1" si="400"/>
        <v/>
      </c>
      <c r="AA838" s="316" t="str">
        <f t="shared" ca="1" si="401"/>
        <v/>
      </c>
      <c r="AC838" s="310" t="e">
        <f t="shared" ca="1" si="402"/>
        <v>#N/A</v>
      </c>
      <c r="AD838" s="323" t="e">
        <f t="shared" ca="1" si="403"/>
        <v>#N/A</v>
      </c>
      <c r="AE838" s="324" t="e">
        <f t="shared" ca="1" si="382"/>
        <v>#N/A</v>
      </c>
      <c r="AG838" s="306">
        <f t="shared" ca="1" si="404"/>
        <v>1.4620624113022949</v>
      </c>
      <c r="AH838" s="304">
        <f t="shared" ca="1" si="405"/>
        <v>-8.3230758552000808</v>
      </c>
    </row>
    <row r="839" spans="1:34" x14ac:dyDescent="0.3">
      <c r="A839" s="347">
        <f t="shared" ca="1" si="383"/>
        <v>1E-4</v>
      </c>
      <c r="B839" s="304">
        <f t="shared" ca="1" si="384"/>
        <v>16.149399999999847</v>
      </c>
      <c r="D839" s="306">
        <f t="shared" ca="1" si="385"/>
        <v>-0.5921738842807891</v>
      </c>
      <c r="E839" s="307">
        <f t="shared" ca="1" si="386"/>
        <v>-1.5079660365164376</v>
      </c>
      <c r="F839" s="304">
        <f t="shared" ca="1" si="387"/>
        <v>1.6200714417923956</v>
      </c>
      <c r="G839" s="306">
        <f t="shared" ca="1" si="388"/>
        <v>3.7250130438616171</v>
      </c>
      <c r="H839" s="307">
        <f t="shared" ca="1" si="389"/>
        <v>-52.224129682279212</v>
      </c>
      <c r="I839" s="304">
        <f t="shared" ca="1" si="390"/>
        <v>52.356808948296838</v>
      </c>
      <c r="J839" s="306">
        <f t="shared" ca="1" si="391"/>
        <v>150.09587023194715</v>
      </c>
      <c r="K839" s="307">
        <f t="shared" ca="1" si="392"/>
        <v>-5.4021779795382807</v>
      </c>
      <c r="L839" s="304">
        <f t="shared" ca="1" si="377"/>
        <v>150.19305505784254</v>
      </c>
      <c r="M839" s="306">
        <f t="shared" ca="1" si="393"/>
        <v>-1.499589489045142</v>
      </c>
      <c r="N839" s="304">
        <f t="shared" ca="1" si="394"/>
        <v>-85.92014872446623</v>
      </c>
      <c r="P839" s="310">
        <f t="shared" ca="1" si="395"/>
        <v>23</v>
      </c>
      <c r="Q839" s="304">
        <f t="shared" ca="1" si="396"/>
        <v>0</v>
      </c>
      <c r="R839" s="306">
        <f t="shared" ca="1" si="397"/>
        <v>0</v>
      </c>
      <c r="S839" s="307">
        <f t="shared" ca="1" si="398"/>
        <v>0.4270000000000001</v>
      </c>
      <c r="T839" s="304">
        <f t="shared" ca="1" si="378"/>
        <v>4.1888700000000014</v>
      </c>
      <c r="U839" s="311">
        <f t="shared" ca="1" si="379"/>
        <v>0</v>
      </c>
      <c r="V839" s="306">
        <f t="shared" ca="1" si="380"/>
        <v>1.2256619455998905</v>
      </c>
      <c r="W839" s="304">
        <f t="shared" ca="1" si="381"/>
        <v>3.5539967995328046</v>
      </c>
      <c r="Y839" s="314" t="str">
        <f t="shared" ca="1" si="399"/>
        <v/>
      </c>
      <c r="Z839" s="315" t="str">
        <f t="shared" ca="1" si="400"/>
        <v/>
      </c>
      <c r="AA839" s="316" t="str">
        <f t="shared" ca="1" si="401"/>
        <v/>
      </c>
      <c r="AC839" s="310" t="e">
        <f t="shared" ca="1" si="402"/>
        <v>#N/A</v>
      </c>
      <c r="AD839" s="323" t="e">
        <f t="shared" ca="1" si="403"/>
        <v>#N/A</v>
      </c>
      <c r="AE839" s="324" t="e">
        <f t="shared" ca="1" si="382"/>
        <v>#N/A</v>
      </c>
      <c r="AG839" s="306">
        <f t="shared" ca="1" si="404"/>
        <v>1.4620125104434063</v>
      </c>
      <c r="AH839" s="304">
        <f t="shared" ca="1" si="405"/>
        <v>-8.3231266865318592</v>
      </c>
    </row>
    <row r="840" spans="1:34" x14ac:dyDescent="0.3">
      <c r="A840" s="347">
        <f t="shared" ca="1" si="383"/>
        <v>1E-4</v>
      </c>
      <c r="B840" s="304">
        <f t="shared" ca="1" si="384"/>
        <v>16.149499999999847</v>
      </c>
      <c r="D840" s="306">
        <f t="shared" ca="1" si="385"/>
        <v>-0.59216643332568963</v>
      </c>
      <c r="E840" s="307">
        <f t="shared" ca="1" si="386"/>
        <v>-1.507914545975904</v>
      </c>
      <c r="F840" s="304">
        <f t="shared" ca="1" si="387"/>
        <v>1.6200207908305946</v>
      </c>
      <c r="G840" s="306">
        <f t="shared" ca="1" si="388"/>
        <v>3.7249538272182847</v>
      </c>
      <c r="H840" s="307">
        <f t="shared" ca="1" si="389"/>
        <v>-52.224280473733813</v>
      </c>
      <c r="I840" s="304">
        <f t="shared" ca="1" si="390"/>
        <v>52.356955144604456</v>
      </c>
      <c r="J840" s="306">
        <f t="shared" ca="1" si="391"/>
        <v>150.09587023194715</v>
      </c>
      <c r="K840" s="307">
        <f t="shared" ca="1" si="392"/>
        <v>-5.4074004000460816</v>
      </c>
      <c r="L840" s="304">
        <f t="shared" ca="1" si="377"/>
        <v>150.19324298972953</v>
      </c>
      <c r="M840" s="306">
        <f t="shared" ca="1" si="393"/>
        <v>-1.4995908221037821</v>
      </c>
      <c r="N840" s="304">
        <f t="shared" ca="1" si="394"/>
        <v>-85.920225103100165</v>
      </c>
      <c r="P840" s="310">
        <f t="shared" ca="1" si="395"/>
        <v>23</v>
      </c>
      <c r="Q840" s="304">
        <f t="shared" ca="1" si="396"/>
        <v>0</v>
      </c>
      <c r="R840" s="306">
        <f t="shared" ca="1" si="397"/>
        <v>0</v>
      </c>
      <c r="S840" s="307">
        <f t="shared" ca="1" si="398"/>
        <v>0.4270000000000001</v>
      </c>
      <c r="T840" s="304">
        <f t="shared" ca="1" si="378"/>
        <v>4.1888700000000014</v>
      </c>
      <c r="U840" s="311">
        <f t="shared" ca="1" si="379"/>
        <v>0</v>
      </c>
      <c r="V840" s="306">
        <f t="shared" ca="1" si="380"/>
        <v>1.2256625856923127</v>
      </c>
      <c r="W840" s="304">
        <f t="shared" ca="1" si="381"/>
        <v>3.5540185033215499</v>
      </c>
      <c r="Y840" s="314" t="str">
        <f t="shared" ca="1" si="399"/>
        <v/>
      </c>
      <c r="Z840" s="315" t="str">
        <f t="shared" ca="1" si="400"/>
        <v/>
      </c>
      <c r="AA840" s="316" t="str">
        <f t="shared" ca="1" si="401"/>
        <v/>
      </c>
      <c r="AC840" s="310" t="e">
        <f t="shared" ca="1" si="402"/>
        <v>#N/A</v>
      </c>
      <c r="AD840" s="323" t="e">
        <f t="shared" ca="1" si="403"/>
        <v>#N/A</v>
      </c>
      <c r="AE840" s="324" t="e">
        <f t="shared" ca="1" si="382"/>
        <v>#N/A</v>
      </c>
      <c r="AG840" s="306">
        <f t="shared" ca="1" si="404"/>
        <v>1.4619626109405122</v>
      </c>
      <c r="AH840" s="304">
        <f t="shared" ca="1" si="405"/>
        <v>-8.3231775164702668</v>
      </c>
    </row>
    <row r="841" spans="1:34" x14ac:dyDescent="0.3">
      <c r="A841" s="347">
        <f t="shared" ca="1" si="383"/>
        <v>1E-4</v>
      </c>
      <c r="B841" s="304">
        <f t="shared" ca="1" si="384"/>
        <v>16.149599999999847</v>
      </c>
      <c r="D841" s="306">
        <f t="shared" ca="1" si="385"/>
        <v>-0.59215898237297748</v>
      </c>
      <c r="E841" s="307">
        <f t="shared" ca="1" si="386"/>
        <v>-1.5078630568472473</v>
      </c>
      <c r="F841" s="304">
        <f t="shared" ca="1" si="387"/>
        <v>1.6199701412710437</v>
      </c>
      <c r="G841" s="306">
        <f t="shared" ca="1" si="388"/>
        <v>3.7248946113200474</v>
      </c>
      <c r="H841" s="307">
        <f t="shared" ca="1" si="389"/>
        <v>-52.224431260039495</v>
      </c>
      <c r="I841" s="304">
        <f t="shared" ca="1" si="390"/>
        <v>52.357101335922252</v>
      </c>
      <c r="J841" s="306">
        <f t="shared" ca="1" si="391"/>
        <v>150.09587023194715</v>
      </c>
      <c r="K841" s="307">
        <f t="shared" ca="1" si="392"/>
        <v>-5.4126228356327699</v>
      </c>
      <c r="L841" s="304">
        <f t="shared" ca="1" si="377"/>
        <v>150.19343110351508</v>
      </c>
      <c r="M841" s="306">
        <f t="shared" ca="1" si="393"/>
        <v>-1.4995921551337863</v>
      </c>
      <c r="N841" s="304">
        <f t="shared" ca="1" si="394"/>
        <v>-85.920301480093357</v>
      </c>
      <c r="P841" s="310">
        <f t="shared" ca="1" si="395"/>
        <v>23</v>
      </c>
      <c r="Q841" s="304">
        <f t="shared" ca="1" si="396"/>
        <v>0</v>
      </c>
      <c r="R841" s="306">
        <f t="shared" ca="1" si="397"/>
        <v>0</v>
      </c>
      <c r="S841" s="307">
        <f t="shared" ca="1" si="398"/>
        <v>0.4270000000000001</v>
      </c>
      <c r="T841" s="304">
        <f t="shared" ca="1" si="378"/>
        <v>4.1888700000000014</v>
      </c>
      <c r="U841" s="311">
        <f t="shared" ca="1" si="379"/>
        <v>0</v>
      </c>
      <c r="V841" s="306">
        <f t="shared" ca="1" si="380"/>
        <v>1.2256632257869171</v>
      </c>
      <c r="W841" s="304">
        <f t="shared" ca="1" si="381"/>
        <v>3.5540402065153498</v>
      </c>
      <c r="Y841" s="314" t="str">
        <f t="shared" ca="1" si="399"/>
        <v/>
      </c>
      <c r="Z841" s="315" t="str">
        <f t="shared" ca="1" si="400"/>
        <v/>
      </c>
      <c r="AA841" s="316" t="str">
        <f t="shared" ca="1" si="401"/>
        <v/>
      </c>
      <c r="AC841" s="310" t="e">
        <f t="shared" ca="1" si="402"/>
        <v>#N/A</v>
      </c>
      <c r="AD841" s="323" t="e">
        <f t="shared" ca="1" si="403"/>
        <v>#N/A</v>
      </c>
      <c r="AE841" s="324" t="e">
        <f t="shared" ca="1" si="382"/>
        <v>#N/A</v>
      </c>
      <c r="AG841" s="306">
        <f t="shared" ca="1" si="404"/>
        <v>1.4619127127935769</v>
      </c>
      <c r="AH841" s="304">
        <f t="shared" ca="1" si="405"/>
        <v>-8.3232283450153375</v>
      </c>
    </row>
    <row r="842" spans="1:34" x14ac:dyDescent="0.3">
      <c r="A842" s="347">
        <f t="shared" ca="1" si="383"/>
        <v>1E-4</v>
      </c>
      <c r="B842" s="304">
        <f t="shared" ca="1" si="384"/>
        <v>16.149699999999847</v>
      </c>
      <c r="D842" s="306">
        <f t="shared" ca="1" si="385"/>
        <v>-0.59215153142265686</v>
      </c>
      <c r="E842" s="307">
        <f t="shared" ca="1" si="386"/>
        <v>-1.5078115691304426</v>
      </c>
      <c r="F842" s="304">
        <f t="shared" ca="1" si="387"/>
        <v>1.619919493113718</v>
      </c>
      <c r="G842" s="306">
        <f t="shared" ca="1" si="388"/>
        <v>3.7248353961669052</v>
      </c>
      <c r="H842" s="307">
        <f t="shared" ca="1" si="389"/>
        <v>-52.224582041196406</v>
      </c>
      <c r="I842" s="304">
        <f t="shared" ca="1" si="390"/>
        <v>52.357247522250368</v>
      </c>
      <c r="J842" s="306">
        <f t="shared" ca="1" si="391"/>
        <v>150.09587023194715</v>
      </c>
      <c r="K842" s="307">
        <f t="shared" ca="1" si="392"/>
        <v>-5.4178452862978315</v>
      </c>
      <c r="L842" s="304">
        <f t="shared" ca="1" si="377"/>
        <v>150.19361939920012</v>
      </c>
      <c r="M842" s="306">
        <f t="shared" ca="1" si="393"/>
        <v>-1.4995934881351554</v>
      </c>
      <c r="N842" s="304">
        <f t="shared" ca="1" si="394"/>
        <v>-85.920377855445892</v>
      </c>
      <c r="P842" s="310">
        <f t="shared" ca="1" si="395"/>
        <v>23</v>
      </c>
      <c r="Q842" s="304">
        <f t="shared" ca="1" si="396"/>
        <v>0</v>
      </c>
      <c r="R842" s="306">
        <f t="shared" ca="1" si="397"/>
        <v>0</v>
      </c>
      <c r="S842" s="307">
        <f t="shared" ca="1" si="398"/>
        <v>0.4270000000000001</v>
      </c>
      <c r="T842" s="304">
        <f t="shared" ca="1" si="378"/>
        <v>4.1888700000000014</v>
      </c>
      <c r="U842" s="311">
        <f t="shared" ca="1" si="379"/>
        <v>0</v>
      </c>
      <c r="V842" s="306">
        <f t="shared" ca="1" si="380"/>
        <v>1.225663865883704</v>
      </c>
      <c r="W842" s="304">
        <f t="shared" ca="1" si="381"/>
        <v>3.5540619091142163</v>
      </c>
      <c r="Y842" s="314" t="str">
        <f t="shared" ca="1" si="399"/>
        <v/>
      </c>
      <c r="Z842" s="315" t="str">
        <f t="shared" ca="1" si="400"/>
        <v/>
      </c>
      <c r="AA842" s="316" t="str">
        <f t="shared" ca="1" si="401"/>
        <v/>
      </c>
      <c r="AC842" s="310" t="e">
        <f t="shared" ca="1" si="402"/>
        <v>#N/A</v>
      </c>
      <c r="AD842" s="323" t="e">
        <f t="shared" ca="1" si="403"/>
        <v>#N/A</v>
      </c>
      <c r="AE842" s="324" t="e">
        <f t="shared" ca="1" si="382"/>
        <v>#N/A</v>
      </c>
      <c r="AG842" s="306">
        <f t="shared" ca="1" si="404"/>
        <v>1.4618628160025811</v>
      </c>
      <c r="AH842" s="304">
        <f t="shared" ca="1" si="405"/>
        <v>-8.3232791721670942</v>
      </c>
    </row>
    <row r="843" spans="1:34" x14ac:dyDescent="0.3">
      <c r="A843" s="347">
        <f t="shared" ca="1" si="383"/>
        <v>1E-4</v>
      </c>
      <c r="B843" s="304">
        <f t="shared" ca="1" si="384"/>
        <v>16.149799999999846</v>
      </c>
      <c r="D843" s="306">
        <f t="shared" ca="1" si="385"/>
        <v>-0.59214408047473244</v>
      </c>
      <c r="E843" s="307">
        <f t="shared" ca="1" si="386"/>
        <v>-1.5077600828254614</v>
      </c>
      <c r="F843" s="304">
        <f t="shared" ca="1" si="387"/>
        <v>1.6198688463585897</v>
      </c>
      <c r="G843" s="306">
        <f t="shared" ca="1" si="388"/>
        <v>3.7247761817588576</v>
      </c>
      <c r="H843" s="307">
        <f t="shared" ca="1" si="389"/>
        <v>-52.224732817204689</v>
      </c>
      <c r="I843" s="304">
        <f t="shared" ca="1" si="390"/>
        <v>52.357393703588933</v>
      </c>
      <c r="J843" s="306">
        <f t="shared" ca="1" si="391"/>
        <v>150.09587023194715</v>
      </c>
      <c r="K843" s="307">
        <f t="shared" ca="1" si="392"/>
        <v>-5.4230677520407511</v>
      </c>
      <c r="L843" s="304">
        <f t="shared" ca="1" si="377"/>
        <v>150.19380787678546</v>
      </c>
      <c r="M843" s="306">
        <f t="shared" ca="1" si="393"/>
        <v>-1.4995948211078898</v>
      </c>
      <c r="N843" s="304">
        <f t="shared" ca="1" si="394"/>
        <v>-85.920454229157784</v>
      </c>
      <c r="P843" s="310">
        <f t="shared" ca="1" si="395"/>
        <v>23</v>
      </c>
      <c r="Q843" s="304">
        <f t="shared" ca="1" si="396"/>
        <v>0</v>
      </c>
      <c r="R843" s="306">
        <f t="shared" ca="1" si="397"/>
        <v>0</v>
      </c>
      <c r="S843" s="307">
        <f t="shared" ca="1" si="398"/>
        <v>0.4270000000000001</v>
      </c>
      <c r="T843" s="304">
        <f t="shared" ca="1" si="378"/>
        <v>4.1888700000000014</v>
      </c>
      <c r="U843" s="311">
        <f t="shared" ca="1" si="379"/>
        <v>0</v>
      </c>
      <c r="V843" s="306">
        <f t="shared" ca="1" si="380"/>
        <v>1.2256645059826732</v>
      </c>
      <c r="W843" s="304">
        <f t="shared" ca="1" si="381"/>
        <v>3.5540836111181591</v>
      </c>
      <c r="Y843" s="314" t="str">
        <f t="shared" ca="1" si="399"/>
        <v/>
      </c>
      <c r="Z843" s="315" t="str">
        <f t="shared" ca="1" si="400"/>
        <v/>
      </c>
      <c r="AA843" s="316" t="str">
        <f t="shared" ca="1" si="401"/>
        <v/>
      </c>
      <c r="AC843" s="310" t="e">
        <f t="shared" ca="1" si="402"/>
        <v>#N/A</v>
      </c>
      <c r="AD843" s="323" t="e">
        <f t="shared" ca="1" si="403"/>
        <v>#N/A</v>
      </c>
      <c r="AE843" s="324" t="e">
        <f t="shared" ca="1" si="382"/>
        <v>#N/A</v>
      </c>
      <c r="AG843" s="306">
        <f t="shared" ca="1" si="404"/>
        <v>1.4618129205675032</v>
      </c>
      <c r="AH843" s="304">
        <f t="shared" ca="1" si="405"/>
        <v>-8.3233299979255637</v>
      </c>
    </row>
    <row r="844" spans="1:34" x14ac:dyDescent="0.3">
      <c r="A844" s="347">
        <f t="shared" ca="1" si="383"/>
        <v>1E-4</v>
      </c>
      <c r="B844" s="304">
        <f t="shared" ca="1" si="384"/>
        <v>16.149899999999846</v>
      </c>
      <c r="D844" s="306">
        <f t="shared" ca="1" si="385"/>
        <v>-0.59213662952921198</v>
      </c>
      <c r="E844" s="307">
        <f t="shared" ca="1" si="386"/>
        <v>-1.5077085979322824</v>
      </c>
      <c r="F844" s="304">
        <f t="shared" ca="1" si="387"/>
        <v>1.6198182010056388</v>
      </c>
      <c r="G844" s="306">
        <f t="shared" ca="1" si="388"/>
        <v>3.7247169680959047</v>
      </c>
      <c r="H844" s="307">
        <f t="shared" ca="1" si="389"/>
        <v>-52.224883588064479</v>
      </c>
      <c r="I844" s="304">
        <f t="shared" ca="1" si="390"/>
        <v>52.357539879938095</v>
      </c>
      <c r="J844" s="306">
        <f t="shared" ca="1" si="391"/>
        <v>150.09587023194715</v>
      </c>
      <c r="K844" s="307">
        <f t="shared" ca="1" si="392"/>
        <v>-5.4282902328610145</v>
      </c>
      <c r="L844" s="304">
        <f t="shared" ca="1" si="377"/>
        <v>150.19399653627201</v>
      </c>
      <c r="M844" s="306">
        <f t="shared" ca="1" si="393"/>
        <v>-1.4995961540519909</v>
      </c>
      <c r="N844" s="304">
        <f t="shared" ca="1" si="394"/>
        <v>-85.920530601229103</v>
      </c>
      <c r="P844" s="310">
        <f t="shared" ca="1" si="395"/>
        <v>23</v>
      </c>
      <c r="Q844" s="304">
        <f t="shared" ca="1" si="396"/>
        <v>0</v>
      </c>
      <c r="R844" s="306">
        <f t="shared" ca="1" si="397"/>
        <v>0</v>
      </c>
      <c r="S844" s="307">
        <f t="shared" ca="1" si="398"/>
        <v>0.4270000000000001</v>
      </c>
      <c r="T844" s="304">
        <f t="shared" ca="1" si="378"/>
        <v>4.1888700000000014</v>
      </c>
      <c r="U844" s="311">
        <f t="shared" ca="1" si="379"/>
        <v>0</v>
      </c>
      <c r="V844" s="306">
        <f t="shared" ca="1" si="380"/>
        <v>1.2256651460838248</v>
      </c>
      <c r="W844" s="304">
        <f t="shared" ca="1" si="381"/>
        <v>3.5541053125271946</v>
      </c>
      <c r="Y844" s="314" t="str">
        <f t="shared" ca="1" si="399"/>
        <v/>
      </c>
      <c r="Z844" s="315" t="str">
        <f t="shared" ca="1" si="400"/>
        <v/>
      </c>
      <c r="AA844" s="316" t="str">
        <f t="shared" ca="1" si="401"/>
        <v/>
      </c>
      <c r="AC844" s="310" t="e">
        <f t="shared" ca="1" si="402"/>
        <v>#N/A</v>
      </c>
      <c r="AD844" s="323" t="e">
        <f t="shared" ca="1" si="403"/>
        <v>#N/A</v>
      </c>
      <c r="AE844" s="324" t="e">
        <f t="shared" ca="1" si="382"/>
        <v>#N/A</v>
      </c>
      <c r="AG844" s="306">
        <f t="shared" ca="1" si="404"/>
        <v>1.461763026488315</v>
      </c>
      <c r="AH844" s="304">
        <f t="shared" ca="1" si="405"/>
        <v>-8.323380822290769</v>
      </c>
    </row>
    <row r="845" spans="1:34" x14ac:dyDescent="0.3">
      <c r="A845" s="347">
        <f t="shared" ca="1" si="383"/>
        <v>1E-4</v>
      </c>
      <c r="B845" s="304">
        <f t="shared" ca="1" si="384"/>
        <v>16.149999999999846</v>
      </c>
      <c r="D845" s="306">
        <f t="shared" ca="1" si="385"/>
        <v>-0.59212917858609748</v>
      </c>
      <c r="E845" s="307">
        <f t="shared" ca="1" si="386"/>
        <v>-1.5076571144508666</v>
      </c>
      <c r="F845" s="304">
        <f t="shared" ca="1" si="387"/>
        <v>1.6197675570548262</v>
      </c>
      <c r="G845" s="306">
        <f t="shared" ca="1" si="388"/>
        <v>3.724657755178046</v>
      </c>
      <c r="H845" s="307">
        <f t="shared" ca="1" si="389"/>
        <v>-52.225034353775925</v>
      </c>
      <c r="I845" s="304">
        <f t="shared" ca="1" si="390"/>
        <v>52.357686051297989</v>
      </c>
      <c r="J845" s="306">
        <f t="shared" ca="1" si="391"/>
        <v>150.09587023194715</v>
      </c>
      <c r="K845" s="307">
        <f t="shared" ca="1" si="392"/>
        <v>-5.4335127287581066</v>
      </c>
      <c r="L845" s="304">
        <f t="shared" ca="1" si="377"/>
        <v>150.19418537766066</v>
      </c>
      <c r="M845" s="306">
        <f t="shared" ca="1" si="393"/>
        <v>-1.4995974869674593</v>
      </c>
      <c r="N845" s="304">
        <f t="shared" ca="1" si="394"/>
        <v>-85.920606971659893</v>
      </c>
      <c r="P845" s="310">
        <f t="shared" ca="1" si="395"/>
        <v>23</v>
      </c>
      <c r="Q845" s="304">
        <f t="shared" ca="1" si="396"/>
        <v>0</v>
      </c>
      <c r="R845" s="306">
        <f t="shared" ca="1" si="397"/>
        <v>0</v>
      </c>
      <c r="S845" s="307">
        <f t="shared" ca="1" si="398"/>
        <v>0.4270000000000001</v>
      </c>
      <c r="T845" s="304">
        <f t="shared" ca="1" si="378"/>
        <v>4.1888700000000014</v>
      </c>
      <c r="U845" s="311">
        <f t="shared" ca="1" si="379"/>
        <v>0</v>
      </c>
      <c r="V845" s="306">
        <f t="shared" ca="1" si="380"/>
        <v>1.2256657861871592</v>
      </c>
      <c r="W845" s="304">
        <f t="shared" ca="1" si="381"/>
        <v>3.5541270133413341</v>
      </c>
      <c r="Y845" s="314" t="str">
        <f t="shared" ca="1" si="399"/>
        <v/>
      </c>
      <c r="Z845" s="315" t="str">
        <f t="shared" ca="1" si="400"/>
        <v/>
      </c>
      <c r="AA845" s="316" t="str">
        <f t="shared" ca="1" si="401"/>
        <v/>
      </c>
      <c r="AC845" s="310" t="e">
        <f t="shared" ca="1" si="402"/>
        <v>#N/A</v>
      </c>
      <c r="AD845" s="323" t="e">
        <f t="shared" ca="1" si="403"/>
        <v>#N/A</v>
      </c>
      <c r="AE845" s="324" t="e">
        <f t="shared" ca="1" si="382"/>
        <v>#N/A</v>
      </c>
      <c r="AG845" s="306">
        <f t="shared" ca="1" si="404"/>
        <v>1.4617131337649845</v>
      </c>
      <c r="AH845" s="304">
        <f t="shared" ca="1" si="405"/>
        <v>-8.3234316452627493</v>
      </c>
    </row>
    <row r="846" spans="1:34" x14ac:dyDescent="0.3">
      <c r="A846" s="347">
        <f t="shared" ca="1" si="383"/>
        <v>1E-4</v>
      </c>
      <c r="B846" s="304">
        <f t="shared" ca="1" si="384"/>
        <v>16.150099999999846</v>
      </c>
      <c r="D846" s="306">
        <f t="shared" ca="1" si="385"/>
        <v>-0.59212172764539472</v>
      </c>
      <c r="E846" s="307">
        <f t="shared" ca="1" si="386"/>
        <v>-1.5076056323811891</v>
      </c>
      <c r="F846" s="304">
        <f t="shared" ca="1" si="387"/>
        <v>1.6197169145061283</v>
      </c>
      <c r="G846" s="306">
        <f t="shared" ca="1" si="388"/>
        <v>3.7245985430052815</v>
      </c>
      <c r="H846" s="307">
        <f t="shared" ca="1" si="389"/>
        <v>-52.225185114339162</v>
      </c>
      <c r="I846" s="304">
        <f t="shared" ca="1" si="390"/>
        <v>52.357832217668729</v>
      </c>
      <c r="J846" s="306">
        <f t="shared" ca="1" si="391"/>
        <v>150.09587023194715</v>
      </c>
      <c r="K846" s="307">
        <f t="shared" ca="1" si="392"/>
        <v>-5.4387352397315123</v>
      </c>
      <c r="L846" s="304">
        <f t="shared" ca="1" si="377"/>
        <v>150.19437440095223</v>
      </c>
      <c r="M846" s="306">
        <f t="shared" ca="1" si="393"/>
        <v>-1.4995988198542956</v>
      </c>
      <c r="N846" s="304">
        <f t="shared" ca="1" si="394"/>
        <v>-85.920683340450182</v>
      </c>
      <c r="P846" s="310">
        <f t="shared" ca="1" si="395"/>
        <v>23</v>
      </c>
      <c r="Q846" s="304">
        <f t="shared" ca="1" si="396"/>
        <v>0</v>
      </c>
      <c r="R846" s="306">
        <f t="shared" ca="1" si="397"/>
        <v>0</v>
      </c>
      <c r="S846" s="307">
        <f t="shared" ca="1" si="398"/>
        <v>0.4270000000000001</v>
      </c>
      <c r="T846" s="304">
        <f t="shared" ca="1" si="378"/>
        <v>4.1888700000000014</v>
      </c>
      <c r="U846" s="311">
        <f t="shared" ca="1" si="379"/>
        <v>0</v>
      </c>
      <c r="V846" s="306">
        <f t="shared" ca="1" si="380"/>
        <v>1.2256664262926753</v>
      </c>
      <c r="W846" s="304">
        <f t="shared" ca="1" si="381"/>
        <v>3.5541487135605836</v>
      </c>
      <c r="Y846" s="314" t="str">
        <f t="shared" ca="1" si="399"/>
        <v/>
      </c>
      <c r="Z846" s="315" t="str">
        <f t="shared" ca="1" si="400"/>
        <v/>
      </c>
      <c r="AA846" s="316" t="str">
        <f t="shared" ca="1" si="401"/>
        <v/>
      </c>
      <c r="AC846" s="310" t="e">
        <f t="shared" ca="1" si="402"/>
        <v>#N/A</v>
      </c>
      <c r="AD846" s="323" t="e">
        <f t="shared" ca="1" si="403"/>
        <v>#N/A</v>
      </c>
      <c r="AE846" s="324" t="e">
        <f t="shared" ca="1" si="382"/>
        <v>#N/A</v>
      </c>
      <c r="AG846" s="306">
        <f t="shared" ca="1" si="404"/>
        <v>1.4616632423974867</v>
      </c>
      <c r="AH846" s="304">
        <f t="shared" ca="1" si="405"/>
        <v>-8.3234824668415293</v>
      </c>
    </row>
    <row r="847" spans="1:34" x14ac:dyDescent="0.3">
      <c r="A847" s="347">
        <f t="shared" ca="1" si="383"/>
        <v>1E-4</v>
      </c>
      <c r="B847" s="304">
        <f t="shared" ca="1" si="384"/>
        <v>16.150199999999845</v>
      </c>
      <c r="D847" s="306">
        <f t="shared" ca="1" si="385"/>
        <v>-0.59211427670711159</v>
      </c>
      <c r="E847" s="307">
        <f t="shared" ca="1" si="386"/>
        <v>-1.5075541517232285</v>
      </c>
      <c r="F847" s="304">
        <f t="shared" ca="1" si="387"/>
        <v>1.6196662733595242</v>
      </c>
      <c r="G847" s="306">
        <f t="shared" ca="1" si="388"/>
        <v>3.7245393315776107</v>
      </c>
      <c r="H847" s="307">
        <f t="shared" ca="1" si="389"/>
        <v>-52.225335869754332</v>
      </c>
      <c r="I847" s="304">
        <f t="shared" ca="1" si="390"/>
        <v>52.357978379050479</v>
      </c>
      <c r="J847" s="306">
        <f t="shared" ca="1" si="391"/>
        <v>150.09587023194715</v>
      </c>
      <c r="K847" s="307">
        <f t="shared" ca="1" si="392"/>
        <v>-5.4439577657807172</v>
      </c>
      <c r="L847" s="304">
        <f t="shared" ca="1" si="377"/>
        <v>150.19456360614763</v>
      </c>
      <c r="M847" s="306">
        <f t="shared" ca="1" si="393"/>
        <v>-1.4996001527125009</v>
      </c>
      <c r="N847" s="304">
        <f t="shared" ca="1" si="394"/>
        <v>-85.920759707600027</v>
      </c>
      <c r="P847" s="310">
        <f t="shared" ca="1" si="395"/>
        <v>23</v>
      </c>
      <c r="Q847" s="304">
        <f t="shared" ca="1" si="396"/>
        <v>0</v>
      </c>
      <c r="R847" s="306">
        <f t="shared" ca="1" si="397"/>
        <v>0</v>
      </c>
      <c r="S847" s="307">
        <f t="shared" ca="1" si="398"/>
        <v>0.4270000000000001</v>
      </c>
      <c r="T847" s="304">
        <f t="shared" ca="1" si="378"/>
        <v>4.1888700000000014</v>
      </c>
      <c r="U847" s="311">
        <f t="shared" ca="1" si="379"/>
        <v>0</v>
      </c>
      <c r="V847" s="306">
        <f t="shared" ca="1" si="380"/>
        <v>1.2256670664003737</v>
      </c>
      <c r="W847" s="304">
        <f t="shared" ca="1" si="381"/>
        <v>3.5541704131849601</v>
      </c>
      <c r="Y847" s="314" t="str">
        <f t="shared" ca="1" si="399"/>
        <v/>
      </c>
      <c r="Z847" s="315" t="str">
        <f t="shared" ca="1" si="400"/>
        <v/>
      </c>
      <c r="AA847" s="316" t="str">
        <f t="shared" ca="1" si="401"/>
        <v/>
      </c>
      <c r="AC847" s="310" t="e">
        <f t="shared" ca="1" si="402"/>
        <v>#N/A</v>
      </c>
      <c r="AD847" s="323" t="e">
        <f t="shared" ca="1" si="403"/>
        <v>#N/A</v>
      </c>
      <c r="AE847" s="324" t="e">
        <f t="shared" ca="1" si="382"/>
        <v>#N/A</v>
      </c>
      <c r="AG847" s="306">
        <f t="shared" ca="1" si="404"/>
        <v>1.4616133523858039</v>
      </c>
      <c r="AH847" s="304">
        <f t="shared" ca="1" si="405"/>
        <v>-8.323533287027125</v>
      </c>
    </row>
    <row r="848" spans="1:34" x14ac:dyDescent="0.3">
      <c r="A848" s="347">
        <f t="shared" ca="1" si="383"/>
        <v>1E-4</v>
      </c>
      <c r="B848" s="304">
        <f t="shared" ca="1" si="384"/>
        <v>16.150299999999845</v>
      </c>
      <c r="D848" s="306">
        <f t="shared" ca="1" si="385"/>
        <v>-0.5921068257712494</v>
      </c>
      <c r="E848" s="307">
        <f t="shared" ca="1" si="386"/>
        <v>-1.5075026724769511</v>
      </c>
      <c r="F848" s="304">
        <f t="shared" ca="1" si="387"/>
        <v>1.6196156336149805</v>
      </c>
      <c r="G848" s="306">
        <f t="shared" ca="1" si="388"/>
        <v>3.7244801208950338</v>
      </c>
      <c r="H848" s="307">
        <f t="shared" ca="1" si="389"/>
        <v>-52.225486620021577</v>
      </c>
      <c r="I848" s="304">
        <f t="shared" ca="1" si="390"/>
        <v>52.358124535443352</v>
      </c>
      <c r="J848" s="306">
        <f t="shared" ca="1" si="391"/>
        <v>150.09587023194715</v>
      </c>
      <c r="K848" s="307">
        <f t="shared" ca="1" si="392"/>
        <v>-5.4491803069052063</v>
      </c>
      <c r="L848" s="304">
        <f t="shared" ca="1" si="377"/>
        <v>150.19475299324768</v>
      </c>
      <c r="M848" s="306">
        <f t="shared" ca="1" si="393"/>
        <v>-1.4996014855420761</v>
      </c>
      <c r="N848" s="304">
        <f t="shared" ca="1" si="394"/>
        <v>-85.920836073109498</v>
      </c>
      <c r="P848" s="310">
        <f t="shared" ca="1" si="395"/>
        <v>23</v>
      </c>
      <c r="Q848" s="304">
        <f t="shared" ca="1" si="396"/>
        <v>0</v>
      </c>
      <c r="R848" s="306">
        <f t="shared" ca="1" si="397"/>
        <v>0</v>
      </c>
      <c r="S848" s="307">
        <f t="shared" ca="1" si="398"/>
        <v>0.4270000000000001</v>
      </c>
      <c r="T848" s="304">
        <f t="shared" ca="1" si="378"/>
        <v>4.1888700000000014</v>
      </c>
      <c r="U848" s="311">
        <f t="shared" ca="1" si="379"/>
        <v>0</v>
      </c>
      <c r="V848" s="306">
        <f t="shared" ca="1" si="380"/>
        <v>1.2256677065102544</v>
      </c>
      <c r="W848" s="304">
        <f t="shared" ca="1" si="381"/>
        <v>3.5541921122144728</v>
      </c>
      <c r="Y848" s="314" t="str">
        <f t="shared" ca="1" si="399"/>
        <v/>
      </c>
      <c r="Z848" s="315" t="str">
        <f t="shared" ca="1" si="400"/>
        <v/>
      </c>
      <c r="AA848" s="316" t="str">
        <f t="shared" ca="1" si="401"/>
        <v/>
      </c>
      <c r="AC848" s="310" t="e">
        <f t="shared" ca="1" si="402"/>
        <v>#N/A</v>
      </c>
      <c r="AD848" s="323" t="e">
        <f t="shared" ca="1" si="403"/>
        <v>#N/A</v>
      </c>
      <c r="AE848" s="324" t="e">
        <f t="shared" ca="1" si="382"/>
        <v>#N/A</v>
      </c>
      <c r="AG848" s="306">
        <f t="shared" ca="1" si="404"/>
        <v>1.4615634637299024</v>
      </c>
      <c r="AH848" s="304">
        <f t="shared" ca="1" si="405"/>
        <v>-8.3235841058195774</v>
      </c>
    </row>
    <row r="849" spans="1:34" x14ac:dyDescent="0.3">
      <c r="A849" s="347">
        <f t="shared" ca="1" si="383"/>
        <v>1E-4</v>
      </c>
      <c r="B849" s="304">
        <f t="shared" ca="1" si="384"/>
        <v>16.150399999999845</v>
      </c>
      <c r="D849" s="306">
        <f t="shared" ca="1" si="385"/>
        <v>-0.59209937483781439</v>
      </c>
      <c r="E849" s="307">
        <f t="shared" ca="1" si="386"/>
        <v>-1.5074511946423321</v>
      </c>
      <c r="F849" s="304">
        <f t="shared" ca="1" si="387"/>
        <v>1.6195649952724729</v>
      </c>
      <c r="G849" s="306">
        <f t="shared" ca="1" si="388"/>
        <v>3.7244209109575501</v>
      </c>
      <c r="H849" s="307">
        <f t="shared" ca="1" si="389"/>
        <v>-52.22563736514104</v>
      </c>
      <c r="I849" s="304">
        <f t="shared" ca="1" si="390"/>
        <v>52.35827068684749</v>
      </c>
      <c r="J849" s="306">
        <f t="shared" ca="1" si="391"/>
        <v>150.09587023194715</v>
      </c>
      <c r="K849" s="307">
        <f t="shared" ca="1" si="392"/>
        <v>-5.4544028631044643</v>
      </c>
      <c r="L849" s="304">
        <f t="shared" ca="1" si="377"/>
        <v>150.19494256225326</v>
      </c>
      <c r="M849" s="306">
        <f t="shared" ca="1" si="393"/>
        <v>-1.4996028183430217</v>
      </c>
      <c r="N849" s="304">
        <f t="shared" ca="1" si="394"/>
        <v>-85.920912436978611</v>
      </c>
      <c r="P849" s="310">
        <f t="shared" ca="1" si="395"/>
        <v>23</v>
      </c>
      <c r="Q849" s="304">
        <f t="shared" ca="1" si="396"/>
        <v>0</v>
      </c>
      <c r="R849" s="306">
        <f t="shared" ca="1" si="397"/>
        <v>0</v>
      </c>
      <c r="S849" s="307">
        <f t="shared" ca="1" si="398"/>
        <v>0.4270000000000001</v>
      </c>
      <c r="T849" s="304">
        <f t="shared" ca="1" si="378"/>
        <v>4.1888700000000014</v>
      </c>
      <c r="U849" s="311">
        <f t="shared" ca="1" si="379"/>
        <v>0</v>
      </c>
      <c r="V849" s="306">
        <f t="shared" ca="1" si="380"/>
        <v>1.2256683466223171</v>
      </c>
      <c r="W849" s="304">
        <f t="shared" ca="1" si="381"/>
        <v>3.5542138106491334</v>
      </c>
      <c r="Y849" s="314" t="str">
        <f t="shared" ca="1" si="399"/>
        <v/>
      </c>
      <c r="Z849" s="315" t="str">
        <f t="shared" ca="1" si="400"/>
        <v/>
      </c>
      <c r="AA849" s="316" t="str">
        <f t="shared" ca="1" si="401"/>
        <v/>
      </c>
      <c r="AC849" s="310" t="e">
        <f t="shared" ca="1" si="402"/>
        <v>#N/A</v>
      </c>
      <c r="AD849" s="323" t="e">
        <f t="shared" ca="1" si="403"/>
        <v>#N/A</v>
      </c>
      <c r="AE849" s="324" t="e">
        <f t="shared" ca="1" si="382"/>
        <v>#N/A</v>
      </c>
      <c r="AG849" s="306">
        <f t="shared" ca="1" si="404"/>
        <v>1.4615135764297644</v>
      </c>
      <c r="AH849" s="304">
        <f t="shared" ca="1" si="405"/>
        <v>-8.3236349232189042</v>
      </c>
    </row>
    <row r="850" spans="1:34" x14ac:dyDescent="0.3">
      <c r="A850" s="347">
        <f t="shared" ca="1" si="383"/>
        <v>1E-4</v>
      </c>
      <c r="B850" s="304">
        <f t="shared" ca="1" si="384"/>
        <v>16.150499999999845</v>
      </c>
      <c r="D850" s="306">
        <f t="shared" ca="1" si="385"/>
        <v>-0.59209192390681287</v>
      </c>
      <c r="E850" s="307">
        <f t="shared" ca="1" si="386"/>
        <v>-1.5073997182193448</v>
      </c>
      <c r="F850" s="304">
        <f t="shared" ca="1" si="387"/>
        <v>1.6195143583319758</v>
      </c>
      <c r="G850" s="306">
        <f t="shared" ca="1" si="388"/>
        <v>3.7243617017651593</v>
      </c>
      <c r="H850" s="307">
        <f t="shared" ca="1" si="389"/>
        <v>-52.225788105112862</v>
      </c>
      <c r="I850" s="304">
        <f t="shared" ca="1" si="390"/>
        <v>52.35841683326305</v>
      </c>
      <c r="J850" s="306">
        <f t="shared" ca="1" si="391"/>
        <v>150.09587023194715</v>
      </c>
      <c r="K850" s="307">
        <f t="shared" ca="1" si="392"/>
        <v>-5.4596254343779771</v>
      </c>
      <c r="L850" s="304">
        <f t="shared" ca="1" si="377"/>
        <v>150.19513231316529</v>
      </c>
      <c r="M850" s="306">
        <f t="shared" ca="1" si="393"/>
        <v>-1.4996041511153386</v>
      </c>
      <c r="N850" s="304">
        <f t="shared" ca="1" si="394"/>
        <v>-85.920988799207421</v>
      </c>
      <c r="P850" s="310">
        <f t="shared" ca="1" si="395"/>
        <v>23</v>
      </c>
      <c r="Q850" s="304">
        <f t="shared" ca="1" si="396"/>
        <v>0</v>
      </c>
      <c r="R850" s="306">
        <f t="shared" ca="1" si="397"/>
        <v>0</v>
      </c>
      <c r="S850" s="307">
        <f t="shared" ca="1" si="398"/>
        <v>0.4270000000000001</v>
      </c>
      <c r="T850" s="304">
        <f t="shared" ca="1" si="378"/>
        <v>4.1888700000000014</v>
      </c>
      <c r="U850" s="311">
        <f t="shared" ca="1" si="379"/>
        <v>0</v>
      </c>
      <c r="V850" s="306">
        <f t="shared" ca="1" si="380"/>
        <v>1.2256689867365615</v>
      </c>
      <c r="W850" s="304">
        <f t="shared" ca="1" si="381"/>
        <v>3.5542355084889565</v>
      </c>
      <c r="Y850" s="314" t="str">
        <f t="shared" ca="1" si="399"/>
        <v/>
      </c>
      <c r="Z850" s="315" t="str">
        <f t="shared" ca="1" si="400"/>
        <v/>
      </c>
      <c r="AA850" s="316" t="str">
        <f t="shared" ca="1" si="401"/>
        <v/>
      </c>
      <c r="AC850" s="310" t="e">
        <f t="shared" ca="1" si="402"/>
        <v>#N/A</v>
      </c>
      <c r="AD850" s="323" t="e">
        <f t="shared" ca="1" si="403"/>
        <v>#N/A</v>
      </c>
      <c r="AE850" s="324" t="e">
        <f t="shared" ca="1" si="382"/>
        <v>#N/A</v>
      </c>
      <c r="AG850" s="306">
        <f t="shared" ca="1" si="404"/>
        <v>1.4614636904853633</v>
      </c>
      <c r="AH850" s="304">
        <f t="shared" ca="1" si="405"/>
        <v>-8.3236857392251355</v>
      </c>
    </row>
    <row r="851" spans="1:34" x14ac:dyDescent="0.3">
      <c r="A851" s="347">
        <f t="shared" ca="1" si="383"/>
        <v>1E-4</v>
      </c>
      <c r="B851" s="304">
        <f t="shared" ca="1" si="384"/>
        <v>16.150599999999844</v>
      </c>
      <c r="D851" s="306">
        <f t="shared" ca="1" si="385"/>
        <v>-0.59208447297824973</v>
      </c>
      <c r="E851" s="307">
        <f t="shared" ca="1" si="386"/>
        <v>-1.5073482432079555</v>
      </c>
      <c r="F851" s="304">
        <f t="shared" ca="1" si="387"/>
        <v>1.6194637227934565</v>
      </c>
      <c r="G851" s="306">
        <f t="shared" ca="1" si="388"/>
        <v>3.7243024933178615</v>
      </c>
      <c r="H851" s="307">
        <f t="shared" ca="1" si="389"/>
        <v>-52.225938839937186</v>
      </c>
      <c r="I851" s="304">
        <f t="shared" ca="1" si="390"/>
        <v>52.358562974690145</v>
      </c>
      <c r="J851" s="306">
        <f t="shared" ca="1" si="391"/>
        <v>150.09587023194715</v>
      </c>
      <c r="K851" s="307">
        <f t="shared" ca="1" si="392"/>
        <v>-5.4648480207252295</v>
      </c>
      <c r="L851" s="304">
        <f t="shared" ca="1" si="377"/>
        <v>150.19532224598456</v>
      </c>
      <c r="M851" s="306">
        <f t="shared" ca="1" si="393"/>
        <v>-1.4996054838590278</v>
      </c>
      <c r="N851" s="304">
        <f t="shared" ca="1" si="394"/>
        <v>-85.921065159795987</v>
      </c>
      <c r="P851" s="310">
        <f t="shared" ca="1" si="395"/>
        <v>23</v>
      </c>
      <c r="Q851" s="304">
        <f t="shared" ca="1" si="396"/>
        <v>0</v>
      </c>
      <c r="R851" s="306">
        <f t="shared" ca="1" si="397"/>
        <v>0</v>
      </c>
      <c r="S851" s="307">
        <f t="shared" ca="1" si="398"/>
        <v>0.4270000000000001</v>
      </c>
      <c r="T851" s="304">
        <f t="shared" ca="1" si="378"/>
        <v>4.1888700000000014</v>
      </c>
      <c r="U851" s="311">
        <f t="shared" ca="1" si="379"/>
        <v>0</v>
      </c>
      <c r="V851" s="306">
        <f t="shared" ca="1" si="380"/>
        <v>1.2256696268529881</v>
      </c>
      <c r="W851" s="304">
        <f t="shared" ca="1" si="381"/>
        <v>3.554257205733951</v>
      </c>
      <c r="Y851" s="314" t="str">
        <f t="shared" ca="1" si="399"/>
        <v/>
      </c>
      <c r="Z851" s="315" t="str">
        <f t="shared" ca="1" si="400"/>
        <v/>
      </c>
      <c r="AA851" s="316" t="str">
        <f t="shared" ca="1" si="401"/>
        <v/>
      </c>
      <c r="AC851" s="310" t="e">
        <f t="shared" ca="1" si="402"/>
        <v>#N/A</v>
      </c>
      <c r="AD851" s="323" t="e">
        <f t="shared" ca="1" si="403"/>
        <v>#N/A</v>
      </c>
      <c r="AE851" s="324" t="e">
        <f t="shared" ca="1" si="382"/>
        <v>#N/A</v>
      </c>
      <c r="AG851" s="306">
        <f t="shared" ca="1" si="404"/>
        <v>1.4614138058966635</v>
      </c>
      <c r="AH851" s="304">
        <f t="shared" ca="1" si="405"/>
        <v>-8.3237365538383035</v>
      </c>
    </row>
    <row r="852" spans="1:34" x14ac:dyDescent="0.3">
      <c r="A852" s="347">
        <f t="shared" ca="1" si="383"/>
        <v>1E-4</v>
      </c>
      <c r="B852" s="304">
        <f t="shared" ca="1" si="384"/>
        <v>16.150699999999844</v>
      </c>
      <c r="D852" s="306">
        <f t="shared" ca="1" si="385"/>
        <v>-0.5920770220521292</v>
      </c>
      <c r="E852" s="307">
        <f t="shared" ca="1" si="386"/>
        <v>-1.507296769608141</v>
      </c>
      <c r="F852" s="304">
        <f t="shared" ca="1" si="387"/>
        <v>1.619413088656892</v>
      </c>
      <c r="G852" s="306">
        <f t="shared" ca="1" si="388"/>
        <v>3.7242432856156564</v>
      </c>
      <c r="H852" s="307">
        <f t="shared" ca="1" si="389"/>
        <v>-52.226089569614146</v>
      </c>
      <c r="I852" s="304">
        <f t="shared" ca="1" si="390"/>
        <v>52.358709111128903</v>
      </c>
      <c r="J852" s="306">
        <f t="shared" ca="1" si="391"/>
        <v>150.09587023194715</v>
      </c>
      <c r="K852" s="307">
        <f t="shared" ca="1" si="392"/>
        <v>-5.4700706221457072</v>
      </c>
      <c r="L852" s="304">
        <f t="shared" ca="1" si="377"/>
        <v>150.19551236071194</v>
      </c>
      <c r="M852" s="306">
        <f t="shared" ca="1" si="393"/>
        <v>-1.4996068165740899</v>
      </c>
      <c r="N852" s="304">
        <f t="shared" ca="1" si="394"/>
        <v>-85.921141518744335</v>
      </c>
      <c r="P852" s="310">
        <f t="shared" ca="1" si="395"/>
        <v>23</v>
      </c>
      <c r="Q852" s="304">
        <f t="shared" ca="1" si="396"/>
        <v>0</v>
      </c>
      <c r="R852" s="306">
        <f t="shared" ca="1" si="397"/>
        <v>0</v>
      </c>
      <c r="S852" s="307">
        <f t="shared" ca="1" si="398"/>
        <v>0.4270000000000001</v>
      </c>
      <c r="T852" s="304">
        <f t="shared" ca="1" si="378"/>
        <v>4.1888700000000014</v>
      </c>
      <c r="U852" s="311">
        <f t="shared" ca="1" si="379"/>
        <v>0</v>
      </c>
      <c r="V852" s="306">
        <f t="shared" ca="1" si="380"/>
        <v>1.2256702669715964</v>
      </c>
      <c r="W852" s="304">
        <f t="shared" ca="1" si="381"/>
        <v>3.5542789023841279</v>
      </c>
      <c r="Y852" s="314" t="str">
        <f t="shared" ca="1" si="399"/>
        <v/>
      </c>
      <c r="Z852" s="315" t="str">
        <f t="shared" ca="1" si="400"/>
        <v/>
      </c>
      <c r="AA852" s="316" t="str">
        <f t="shared" ca="1" si="401"/>
        <v/>
      </c>
      <c r="AC852" s="310" t="e">
        <f t="shared" ca="1" si="402"/>
        <v>#N/A</v>
      </c>
      <c r="AD852" s="323" t="e">
        <f t="shared" ca="1" si="403"/>
        <v>#N/A</v>
      </c>
      <c r="AE852" s="324" t="e">
        <f t="shared" ca="1" si="382"/>
        <v>#N/A</v>
      </c>
      <c r="AG852" s="306">
        <f t="shared" ca="1" si="404"/>
        <v>1.4613639226636472</v>
      </c>
      <c r="AH852" s="304">
        <f t="shared" ca="1" si="405"/>
        <v>-8.323787367058431</v>
      </c>
    </row>
    <row r="853" spans="1:34" x14ac:dyDescent="0.3">
      <c r="A853" s="347">
        <f t="shared" ca="1" si="383"/>
        <v>1E-4</v>
      </c>
      <c r="B853" s="304">
        <f t="shared" ca="1" si="384"/>
        <v>16.150799999999844</v>
      </c>
      <c r="D853" s="306">
        <f t="shared" ca="1" si="385"/>
        <v>-0.59206957112845771</v>
      </c>
      <c r="E853" s="307">
        <f t="shared" ca="1" si="386"/>
        <v>-1.5072452974198765</v>
      </c>
      <c r="F853" s="304">
        <f t="shared" ca="1" si="387"/>
        <v>1.6193624559222584</v>
      </c>
      <c r="G853" s="306">
        <f t="shared" ca="1" si="388"/>
        <v>3.7241840786585434</v>
      </c>
      <c r="H853" s="307">
        <f t="shared" ca="1" si="389"/>
        <v>-52.226240294143885</v>
      </c>
      <c r="I853" s="304">
        <f t="shared" ca="1" si="390"/>
        <v>52.358855242579473</v>
      </c>
      <c r="J853" s="306">
        <f t="shared" ca="1" si="391"/>
        <v>150.09587023194715</v>
      </c>
      <c r="K853" s="307">
        <f t="shared" ca="1" si="392"/>
        <v>-5.4752932386388951</v>
      </c>
      <c r="L853" s="304">
        <f t="shared" ca="1" si="377"/>
        <v>150.19570265734836</v>
      </c>
      <c r="M853" s="306">
        <f t="shared" ca="1" si="393"/>
        <v>-1.499608149260526</v>
      </c>
      <c r="N853" s="304">
        <f t="shared" ca="1" si="394"/>
        <v>-85.921217876052538</v>
      </c>
      <c r="P853" s="310">
        <f t="shared" ca="1" si="395"/>
        <v>23</v>
      </c>
      <c r="Q853" s="304">
        <f t="shared" ca="1" si="396"/>
        <v>0</v>
      </c>
      <c r="R853" s="306">
        <f t="shared" ca="1" si="397"/>
        <v>0</v>
      </c>
      <c r="S853" s="307">
        <f t="shared" ca="1" si="398"/>
        <v>0.4270000000000001</v>
      </c>
      <c r="T853" s="304">
        <f t="shared" ca="1" si="378"/>
        <v>4.1888700000000014</v>
      </c>
      <c r="U853" s="311">
        <f t="shared" ca="1" si="379"/>
        <v>0</v>
      </c>
      <c r="V853" s="306">
        <f t="shared" ca="1" si="380"/>
        <v>1.2256709070923868</v>
      </c>
      <c r="W853" s="304">
        <f t="shared" ca="1" si="381"/>
        <v>3.5543005984395015</v>
      </c>
      <c r="Y853" s="314" t="str">
        <f t="shared" ca="1" si="399"/>
        <v/>
      </c>
      <c r="Z853" s="315" t="str">
        <f t="shared" ca="1" si="400"/>
        <v/>
      </c>
      <c r="AA853" s="316" t="str">
        <f t="shared" ca="1" si="401"/>
        <v/>
      </c>
      <c r="AC853" s="310" t="e">
        <f t="shared" ca="1" si="402"/>
        <v>#N/A</v>
      </c>
      <c r="AD853" s="323" t="e">
        <f t="shared" ca="1" si="403"/>
        <v>#N/A</v>
      </c>
      <c r="AE853" s="324" t="e">
        <f t="shared" ca="1" si="382"/>
        <v>#N/A</v>
      </c>
      <c r="AG853" s="306">
        <f t="shared" ca="1" si="404"/>
        <v>1.4613140407862897</v>
      </c>
      <c r="AH853" s="304">
        <f t="shared" ca="1" si="405"/>
        <v>-8.3238381788855431</v>
      </c>
    </row>
    <row r="854" spans="1:34" x14ac:dyDescent="0.3">
      <c r="A854" s="347">
        <f t="shared" ca="1" si="383"/>
        <v>1E-4</v>
      </c>
      <c r="B854" s="304">
        <f t="shared" ca="1" si="384"/>
        <v>16.150899999999844</v>
      </c>
      <c r="D854" s="306">
        <f t="shared" ca="1" si="385"/>
        <v>-0.59206212020723803</v>
      </c>
      <c r="E854" s="307">
        <f t="shared" ca="1" si="386"/>
        <v>-1.5071938266431264</v>
      </c>
      <c r="F854" s="304">
        <f t="shared" ca="1" si="387"/>
        <v>1.6193118245895202</v>
      </c>
      <c r="G854" s="306">
        <f t="shared" ca="1" si="388"/>
        <v>3.7241248724465228</v>
      </c>
      <c r="H854" s="307">
        <f t="shared" ca="1" si="389"/>
        <v>-52.226391013526552</v>
      </c>
      <c r="I854" s="304">
        <f t="shared" ca="1" si="390"/>
        <v>52.359001369041998</v>
      </c>
      <c r="J854" s="306">
        <f t="shared" ca="1" si="391"/>
        <v>150.09587023194715</v>
      </c>
      <c r="K854" s="307">
        <f t="shared" ca="1" si="392"/>
        <v>-5.4805158702042789</v>
      </c>
      <c r="L854" s="304">
        <f t="shared" ca="1" si="377"/>
        <v>150.19589313589461</v>
      </c>
      <c r="M854" s="306">
        <f t="shared" ca="1" si="393"/>
        <v>-1.4996094819183365</v>
      </c>
      <c r="N854" s="304">
        <f t="shared" ca="1" si="394"/>
        <v>-85.921294231720623</v>
      </c>
      <c r="P854" s="310">
        <f t="shared" ca="1" si="395"/>
        <v>23</v>
      </c>
      <c r="Q854" s="304">
        <f t="shared" ca="1" si="396"/>
        <v>0</v>
      </c>
      <c r="R854" s="306">
        <f t="shared" ca="1" si="397"/>
        <v>0</v>
      </c>
      <c r="S854" s="307">
        <f t="shared" ca="1" si="398"/>
        <v>0.4270000000000001</v>
      </c>
      <c r="T854" s="304">
        <f t="shared" ca="1" si="378"/>
        <v>4.1888700000000014</v>
      </c>
      <c r="U854" s="311">
        <f t="shared" ca="1" si="379"/>
        <v>0</v>
      </c>
      <c r="V854" s="306">
        <f t="shared" ca="1" si="380"/>
        <v>1.2256715472153588</v>
      </c>
      <c r="W854" s="304">
        <f t="shared" ca="1" si="381"/>
        <v>3.5543222939000816</v>
      </c>
      <c r="Y854" s="314" t="str">
        <f t="shared" ca="1" si="399"/>
        <v/>
      </c>
      <c r="Z854" s="315" t="str">
        <f t="shared" ca="1" si="400"/>
        <v/>
      </c>
      <c r="AA854" s="316" t="str">
        <f t="shared" ca="1" si="401"/>
        <v/>
      </c>
      <c r="AC854" s="310" t="e">
        <f t="shared" ca="1" si="402"/>
        <v>#N/A</v>
      </c>
      <c r="AD854" s="323" t="e">
        <f t="shared" ca="1" si="403"/>
        <v>#N/A</v>
      </c>
      <c r="AE854" s="324" t="e">
        <f t="shared" ca="1" si="382"/>
        <v>#N/A</v>
      </c>
      <c r="AG854" s="306">
        <f t="shared" ca="1" si="404"/>
        <v>1.4612641602645624</v>
      </c>
      <c r="AH854" s="304">
        <f t="shared" ca="1" si="405"/>
        <v>-8.3238889893196735</v>
      </c>
    </row>
    <row r="855" spans="1:34" x14ac:dyDescent="0.3">
      <c r="A855" s="347">
        <f t="shared" ca="1" si="383"/>
        <v>1E-4</v>
      </c>
      <c r="B855" s="304">
        <f t="shared" ca="1" si="384"/>
        <v>16.150999999999843</v>
      </c>
      <c r="D855" s="306">
        <f t="shared" ca="1" si="385"/>
        <v>-0.5920546692884785</v>
      </c>
      <c r="E855" s="307">
        <f t="shared" ca="1" si="386"/>
        <v>-1.5071423572778695</v>
      </c>
      <c r="F855" s="304">
        <f t="shared" ca="1" si="387"/>
        <v>1.6192611946586575</v>
      </c>
      <c r="G855" s="306">
        <f t="shared" ca="1" si="388"/>
        <v>3.7240656669795937</v>
      </c>
      <c r="H855" s="307">
        <f t="shared" ca="1" si="389"/>
        <v>-52.226541727762282</v>
      </c>
      <c r="I855" s="304">
        <f t="shared" ca="1" si="390"/>
        <v>52.359147490516598</v>
      </c>
      <c r="J855" s="306">
        <f t="shared" ca="1" si="391"/>
        <v>150.09587023194715</v>
      </c>
      <c r="K855" s="307">
        <f t="shared" ca="1" si="392"/>
        <v>-5.4857385168413435</v>
      </c>
      <c r="L855" s="304">
        <f t="shared" ca="1" si="377"/>
        <v>150.19608379635162</v>
      </c>
      <c r="M855" s="306">
        <f t="shared" ca="1" si="393"/>
        <v>-1.4996108145475227</v>
      </c>
      <c r="N855" s="304">
        <f t="shared" ca="1" si="394"/>
        <v>-85.921370585748647</v>
      </c>
      <c r="P855" s="310">
        <f t="shared" ca="1" si="395"/>
        <v>23</v>
      </c>
      <c r="Q855" s="304">
        <f t="shared" ca="1" si="396"/>
        <v>0</v>
      </c>
      <c r="R855" s="306">
        <f t="shared" ca="1" si="397"/>
        <v>0</v>
      </c>
      <c r="S855" s="307">
        <f t="shared" ca="1" si="398"/>
        <v>0.4270000000000001</v>
      </c>
      <c r="T855" s="304">
        <f t="shared" ca="1" si="378"/>
        <v>4.1888700000000014</v>
      </c>
      <c r="U855" s="311">
        <f t="shared" ca="1" si="379"/>
        <v>0</v>
      </c>
      <c r="V855" s="306">
        <f t="shared" ca="1" si="380"/>
        <v>1.2256721873405121</v>
      </c>
      <c r="W855" s="304">
        <f t="shared" ca="1" si="381"/>
        <v>3.5543439887658788</v>
      </c>
      <c r="Y855" s="314" t="str">
        <f t="shared" ca="1" si="399"/>
        <v/>
      </c>
      <c r="Z855" s="315" t="str">
        <f t="shared" ca="1" si="400"/>
        <v/>
      </c>
      <c r="AA855" s="316" t="str">
        <f t="shared" ca="1" si="401"/>
        <v/>
      </c>
      <c r="AC855" s="310" t="e">
        <f t="shared" ca="1" si="402"/>
        <v>#N/A</v>
      </c>
      <c r="AD855" s="323" t="e">
        <f t="shared" ca="1" si="403"/>
        <v>#N/A</v>
      </c>
      <c r="AE855" s="324" t="e">
        <f t="shared" ca="1" si="382"/>
        <v>#N/A</v>
      </c>
      <c r="AG855" s="306">
        <f t="shared" ca="1" si="404"/>
        <v>1.4612142810984388</v>
      </c>
      <c r="AH855" s="304">
        <f t="shared" ca="1" si="405"/>
        <v>-8.3239397983608452</v>
      </c>
    </row>
    <row r="856" spans="1:34" x14ac:dyDescent="0.3">
      <c r="A856" s="347">
        <f t="shared" ca="1" si="383"/>
        <v>1E-4</v>
      </c>
      <c r="B856" s="304">
        <f t="shared" ca="1" si="384"/>
        <v>16.151099999999843</v>
      </c>
      <c r="D856" s="306">
        <f t="shared" ca="1" si="385"/>
        <v>-0.59204721837218122</v>
      </c>
      <c r="E856" s="307">
        <f t="shared" ca="1" si="386"/>
        <v>-1.5070908893240809</v>
      </c>
      <c r="F856" s="304">
        <f t="shared" ca="1" si="387"/>
        <v>1.6192105661296452</v>
      </c>
      <c r="G856" s="306">
        <f t="shared" ca="1" si="388"/>
        <v>3.7240064622577567</v>
      </c>
      <c r="H856" s="307">
        <f t="shared" ca="1" si="389"/>
        <v>-52.226692436851216</v>
      </c>
      <c r="I856" s="304">
        <f t="shared" ca="1" si="390"/>
        <v>52.359293607003423</v>
      </c>
      <c r="J856" s="306">
        <f t="shared" ca="1" si="391"/>
        <v>150.09587023194715</v>
      </c>
      <c r="K856" s="307">
        <f t="shared" ca="1" si="392"/>
        <v>-5.4909611785495738</v>
      </c>
      <c r="L856" s="304">
        <f t="shared" ca="1" si="377"/>
        <v>150.19627463872018</v>
      </c>
      <c r="M856" s="306">
        <f t="shared" ca="1" si="393"/>
        <v>-1.4996121471480852</v>
      </c>
      <c r="N856" s="304">
        <f t="shared" ca="1" si="394"/>
        <v>-85.921446938136654</v>
      </c>
      <c r="P856" s="310">
        <f t="shared" ca="1" si="395"/>
        <v>23</v>
      </c>
      <c r="Q856" s="304">
        <f t="shared" ca="1" si="396"/>
        <v>0</v>
      </c>
      <c r="R856" s="306">
        <f t="shared" ca="1" si="397"/>
        <v>0</v>
      </c>
      <c r="S856" s="307">
        <f t="shared" ca="1" si="398"/>
        <v>0.4270000000000001</v>
      </c>
      <c r="T856" s="304">
        <f t="shared" ca="1" si="378"/>
        <v>4.1888700000000014</v>
      </c>
      <c r="U856" s="311">
        <f t="shared" ca="1" si="379"/>
        <v>0</v>
      </c>
      <c r="V856" s="306">
        <f t="shared" ca="1" si="380"/>
        <v>1.2256728274678474</v>
      </c>
      <c r="W856" s="304">
        <f t="shared" ca="1" si="381"/>
        <v>3.5543656830369099</v>
      </c>
      <c r="Y856" s="314" t="str">
        <f t="shared" ca="1" si="399"/>
        <v/>
      </c>
      <c r="Z856" s="315" t="str">
        <f t="shared" ca="1" si="400"/>
        <v/>
      </c>
      <c r="AA856" s="316" t="str">
        <f t="shared" ca="1" si="401"/>
        <v/>
      </c>
      <c r="AC856" s="310" t="e">
        <f t="shared" ca="1" si="402"/>
        <v>#N/A</v>
      </c>
      <c r="AD856" s="323" t="e">
        <f t="shared" ca="1" si="403"/>
        <v>#N/A</v>
      </c>
      <c r="AE856" s="324" t="e">
        <f t="shared" ca="1" si="382"/>
        <v>#N/A</v>
      </c>
      <c r="AG856" s="306">
        <f t="shared" ca="1" si="404"/>
        <v>1.461164403287901</v>
      </c>
      <c r="AH856" s="304">
        <f t="shared" ca="1" si="405"/>
        <v>-8.3239906060090814</v>
      </c>
    </row>
    <row r="857" spans="1:34" x14ac:dyDescent="0.3">
      <c r="A857" s="347">
        <f t="shared" ca="1" si="383"/>
        <v>1E-4</v>
      </c>
      <c r="B857" s="304">
        <f t="shared" ca="1" si="384"/>
        <v>16.151199999999843</v>
      </c>
      <c r="D857" s="306">
        <f t="shared" ca="1" si="385"/>
        <v>-0.59203976745835196</v>
      </c>
      <c r="E857" s="307">
        <f t="shared" ca="1" si="386"/>
        <v>-1.5070394227817161</v>
      </c>
      <c r="F857" s="304">
        <f t="shared" ca="1" si="387"/>
        <v>1.6191599390024405</v>
      </c>
      <c r="G857" s="306">
        <f t="shared" ca="1" si="388"/>
        <v>3.7239472582810107</v>
      </c>
      <c r="H857" s="307">
        <f t="shared" ca="1" si="389"/>
        <v>-52.226843140793491</v>
      </c>
      <c r="I857" s="304">
        <f t="shared" ca="1" si="390"/>
        <v>52.359439718502593</v>
      </c>
      <c r="J857" s="306">
        <f t="shared" ca="1" si="391"/>
        <v>150.09587023194715</v>
      </c>
      <c r="K857" s="307">
        <f t="shared" ca="1" si="392"/>
        <v>-5.4961838553284563</v>
      </c>
      <c r="L857" s="304">
        <f t="shared" ca="1" si="377"/>
        <v>150.19646566300116</v>
      </c>
      <c r="M857" s="306">
        <f t="shared" ca="1" si="393"/>
        <v>-1.4996134797200247</v>
      </c>
      <c r="N857" s="304">
        <f t="shared" ca="1" si="394"/>
        <v>-85.921523288884686</v>
      </c>
      <c r="P857" s="310">
        <f t="shared" ca="1" si="395"/>
        <v>23</v>
      </c>
      <c r="Q857" s="304">
        <f t="shared" ca="1" si="396"/>
        <v>0</v>
      </c>
      <c r="R857" s="306">
        <f t="shared" ca="1" si="397"/>
        <v>0</v>
      </c>
      <c r="S857" s="307">
        <f t="shared" ca="1" si="398"/>
        <v>0.4270000000000001</v>
      </c>
      <c r="T857" s="304">
        <f t="shared" ca="1" si="378"/>
        <v>4.1888700000000014</v>
      </c>
      <c r="U857" s="311">
        <f t="shared" ca="1" si="379"/>
        <v>0</v>
      </c>
      <c r="V857" s="306">
        <f t="shared" ca="1" si="380"/>
        <v>1.2256734675973646</v>
      </c>
      <c r="W857" s="304">
        <f t="shared" ca="1" si="381"/>
        <v>3.5543873767131822</v>
      </c>
      <c r="Y857" s="314" t="str">
        <f t="shared" ca="1" si="399"/>
        <v/>
      </c>
      <c r="Z857" s="315" t="str">
        <f t="shared" ca="1" si="400"/>
        <v/>
      </c>
      <c r="AA857" s="316" t="str">
        <f t="shared" ca="1" si="401"/>
        <v/>
      </c>
      <c r="AC857" s="310" t="e">
        <f t="shared" ca="1" si="402"/>
        <v>#N/A</v>
      </c>
      <c r="AD857" s="323" t="e">
        <f t="shared" ca="1" si="403"/>
        <v>#N/A</v>
      </c>
      <c r="AE857" s="324" t="e">
        <f t="shared" ca="1" si="382"/>
        <v>#N/A</v>
      </c>
      <c r="AG857" s="306">
        <f t="shared" ca="1" si="404"/>
        <v>1.4611145268329064</v>
      </c>
      <c r="AH857" s="304">
        <f t="shared" ca="1" si="405"/>
        <v>-8.3240414122644246</v>
      </c>
    </row>
    <row r="858" spans="1:34" x14ac:dyDescent="0.3">
      <c r="A858" s="347">
        <f t="shared" ca="1" si="383"/>
        <v>1E-4</v>
      </c>
      <c r="B858" s="304">
        <f t="shared" ca="1" si="384"/>
        <v>16.151299999999843</v>
      </c>
      <c r="D858" s="306">
        <f t="shared" ca="1" si="385"/>
        <v>-0.59203231654699806</v>
      </c>
      <c r="E858" s="307">
        <f t="shared" ca="1" si="386"/>
        <v>-1.5069879576507645</v>
      </c>
      <c r="F858" s="304">
        <f t="shared" ca="1" si="387"/>
        <v>1.6191093132770338</v>
      </c>
      <c r="G858" s="306">
        <f t="shared" ca="1" si="388"/>
        <v>3.7238880550493558</v>
      </c>
      <c r="H858" s="307">
        <f t="shared" ca="1" si="389"/>
        <v>-52.226993839589255</v>
      </c>
      <c r="I858" s="304">
        <f t="shared" ca="1" si="390"/>
        <v>52.359585825014257</v>
      </c>
      <c r="J858" s="306">
        <f t="shared" ca="1" si="391"/>
        <v>150.09587023194715</v>
      </c>
      <c r="K858" s="307">
        <f t="shared" ca="1" si="392"/>
        <v>-5.5014065471774751</v>
      </c>
      <c r="L858" s="304">
        <f t="shared" ca="1" si="377"/>
        <v>150.19665686919546</v>
      </c>
      <c r="M858" s="306">
        <f t="shared" ca="1" si="393"/>
        <v>-1.4996148122633421</v>
      </c>
      <c r="N858" s="304">
        <f t="shared" ca="1" si="394"/>
        <v>-85.921599637992799</v>
      </c>
      <c r="P858" s="310">
        <f t="shared" ca="1" si="395"/>
        <v>23</v>
      </c>
      <c r="Q858" s="304">
        <f t="shared" ca="1" si="396"/>
        <v>0</v>
      </c>
      <c r="R858" s="306">
        <f t="shared" ca="1" si="397"/>
        <v>0</v>
      </c>
      <c r="S858" s="307">
        <f t="shared" ca="1" si="398"/>
        <v>0.4270000000000001</v>
      </c>
      <c r="T858" s="304">
        <f t="shared" ca="1" si="378"/>
        <v>4.1888700000000014</v>
      </c>
      <c r="U858" s="311">
        <f t="shared" ca="1" si="379"/>
        <v>0</v>
      </c>
      <c r="V858" s="306">
        <f t="shared" ca="1" si="380"/>
        <v>1.2256741077290629</v>
      </c>
      <c r="W858" s="304">
        <f t="shared" ca="1" si="381"/>
        <v>3.5544090697947088</v>
      </c>
      <c r="Y858" s="314" t="str">
        <f t="shared" ca="1" si="399"/>
        <v/>
      </c>
      <c r="Z858" s="315" t="str">
        <f t="shared" ca="1" si="400"/>
        <v/>
      </c>
      <c r="AA858" s="316" t="str">
        <f t="shared" ca="1" si="401"/>
        <v/>
      </c>
      <c r="AC858" s="310" t="e">
        <f t="shared" ca="1" si="402"/>
        <v>#N/A</v>
      </c>
      <c r="AD858" s="323" t="e">
        <f t="shared" ca="1" si="403"/>
        <v>#N/A</v>
      </c>
      <c r="AE858" s="324" t="e">
        <f t="shared" ca="1" si="382"/>
        <v>#N/A</v>
      </c>
      <c r="AG858" s="306">
        <f t="shared" ca="1" si="404"/>
        <v>1.4610646517334445</v>
      </c>
      <c r="AH858" s="304">
        <f t="shared" ca="1" si="405"/>
        <v>-8.3240922171268892</v>
      </c>
    </row>
    <row r="859" spans="1:34" x14ac:dyDescent="0.3">
      <c r="A859" s="347">
        <f t="shared" ca="1" si="383"/>
        <v>1E-4</v>
      </c>
      <c r="B859" s="304">
        <f t="shared" ca="1" si="384"/>
        <v>16.151399999999843</v>
      </c>
      <c r="D859" s="306">
        <f t="shared" ca="1" si="385"/>
        <v>-0.59202486563812229</v>
      </c>
      <c r="E859" s="307">
        <f t="shared" ca="1" si="386"/>
        <v>-1.5069364939311907</v>
      </c>
      <c r="F859" s="304">
        <f t="shared" ca="1" si="387"/>
        <v>1.6190586889533887</v>
      </c>
      <c r="G859" s="306">
        <f t="shared" ca="1" si="388"/>
        <v>3.7238288525627921</v>
      </c>
      <c r="H859" s="307">
        <f t="shared" ca="1" si="389"/>
        <v>-52.227144533238651</v>
      </c>
      <c r="I859" s="304">
        <f t="shared" ca="1" si="390"/>
        <v>52.359731926538537</v>
      </c>
      <c r="J859" s="306">
        <f t="shared" ca="1" si="391"/>
        <v>150.09587023194715</v>
      </c>
      <c r="K859" s="307">
        <f t="shared" ca="1" si="392"/>
        <v>-5.5066292540961168</v>
      </c>
      <c r="L859" s="304">
        <f t="shared" ca="1" si="377"/>
        <v>150.19684825730394</v>
      </c>
      <c r="M859" s="306">
        <f t="shared" ca="1" si="393"/>
        <v>-1.4996161447780383</v>
      </c>
      <c r="N859" s="304">
        <f t="shared" ca="1" si="394"/>
        <v>-85.921675985461022</v>
      </c>
      <c r="P859" s="310">
        <f t="shared" ca="1" si="395"/>
        <v>23</v>
      </c>
      <c r="Q859" s="304">
        <f t="shared" ca="1" si="396"/>
        <v>0</v>
      </c>
      <c r="R859" s="306">
        <f t="shared" ca="1" si="397"/>
        <v>0</v>
      </c>
      <c r="S859" s="307">
        <f t="shared" ca="1" si="398"/>
        <v>0.4270000000000001</v>
      </c>
      <c r="T859" s="304">
        <f t="shared" ca="1" si="378"/>
        <v>4.1888700000000014</v>
      </c>
      <c r="U859" s="311">
        <f t="shared" ca="1" si="379"/>
        <v>0</v>
      </c>
      <c r="V859" s="306">
        <f t="shared" ca="1" si="380"/>
        <v>1.2256747478629431</v>
      </c>
      <c r="W859" s="304">
        <f t="shared" ca="1" si="381"/>
        <v>3.5544307622815001</v>
      </c>
      <c r="Y859" s="314" t="str">
        <f t="shared" ca="1" si="399"/>
        <v/>
      </c>
      <c r="Z859" s="315" t="str">
        <f t="shared" ca="1" si="400"/>
        <v/>
      </c>
      <c r="AA859" s="316" t="str">
        <f t="shared" ca="1" si="401"/>
        <v/>
      </c>
      <c r="AC859" s="310" t="e">
        <f t="shared" ca="1" si="402"/>
        <v>#N/A</v>
      </c>
      <c r="AD859" s="323" t="e">
        <f t="shared" ca="1" si="403"/>
        <v>#N/A</v>
      </c>
      <c r="AE859" s="324" t="e">
        <f t="shared" ca="1" si="382"/>
        <v>#N/A</v>
      </c>
      <c r="AG859" s="306">
        <f t="shared" ca="1" si="404"/>
        <v>1.4610147779894849</v>
      </c>
      <c r="AH859" s="304">
        <f t="shared" ca="1" si="405"/>
        <v>-8.3241430205965052</v>
      </c>
    </row>
    <row r="860" spans="1:34" x14ac:dyDescent="0.3">
      <c r="A860" s="347">
        <f t="shared" ca="1" si="383"/>
        <v>1E-4</v>
      </c>
      <c r="B860" s="304">
        <f t="shared" ca="1" si="384"/>
        <v>16.151499999999842</v>
      </c>
      <c r="D860" s="306">
        <f t="shared" ca="1" si="385"/>
        <v>-0.5920174147317312</v>
      </c>
      <c r="E860" s="307">
        <f t="shared" ca="1" si="386"/>
        <v>-1.5068850316229696</v>
      </c>
      <c r="F860" s="304">
        <f t="shared" ca="1" si="387"/>
        <v>1.6190080660314823</v>
      </c>
      <c r="G860" s="306">
        <f t="shared" ca="1" si="388"/>
        <v>3.7237696508213189</v>
      </c>
      <c r="H860" s="307">
        <f t="shared" ca="1" si="389"/>
        <v>-52.227295221741812</v>
      </c>
      <c r="I860" s="304">
        <f t="shared" ca="1" si="390"/>
        <v>52.359878023075581</v>
      </c>
      <c r="J860" s="306">
        <f t="shared" ca="1" si="391"/>
        <v>150.09587023194715</v>
      </c>
      <c r="K860" s="307">
        <f t="shared" ca="1" si="392"/>
        <v>-5.5118519760838662</v>
      </c>
      <c r="L860" s="304">
        <f t="shared" ca="1" si="377"/>
        <v>150.19703982732742</v>
      </c>
      <c r="M860" s="306">
        <f t="shared" ca="1" si="393"/>
        <v>-1.4996174772641142</v>
      </c>
      <c r="N860" s="304">
        <f t="shared" ca="1" si="394"/>
        <v>-85.921752331289426</v>
      </c>
      <c r="P860" s="310">
        <f t="shared" ca="1" si="395"/>
        <v>23</v>
      </c>
      <c r="Q860" s="304">
        <f t="shared" ca="1" si="396"/>
        <v>0</v>
      </c>
      <c r="R860" s="306">
        <f t="shared" ca="1" si="397"/>
        <v>0</v>
      </c>
      <c r="S860" s="307">
        <f t="shared" ca="1" si="398"/>
        <v>0.4270000000000001</v>
      </c>
      <c r="T860" s="304">
        <f t="shared" ca="1" si="378"/>
        <v>4.1888700000000014</v>
      </c>
      <c r="U860" s="311">
        <f t="shared" ca="1" si="379"/>
        <v>0</v>
      </c>
      <c r="V860" s="306">
        <f t="shared" ca="1" si="380"/>
        <v>1.2256753879990041</v>
      </c>
      <c r="W860" s="304">
        <f t="shared" ca="1" si="381"/>
        <v>3.5544524541735676</v>
      </c>
      <c r="Y860" s="314" t="str">
        <f t="shared" ca="1" si="399"/>
        <v/>
      </c>
      <c r="Z860" s="315" t="str">
        <f t="shared" ca="1" si="400"/>
        <v/>
      </c>
      <c r="AA860" s="316" t="str">
        <f t="shared" ca="1" si="401"/>
        <v/>
      </c>
      <c r="AC860" s="310" t="e">
        <f t="shared" ca="1" si="402"/>
        <v>#N/A</v>
      </c>
      <c r="AD860" s="323" t="e">
        <f t="shared" ca="1" si="403"/>
        <v>#N/A</v>
      </c>
      <c r="AE860" s="324" t="e">
        <f t="shared" ca="1" si="382"/>
        <v>#N/A</v>
      </c>
      <c r="AG860" s="306">
        <f t="shared" ca="1" si="404"/>
        <v>1.4609649056010028</v>
      </c>
      <c r="AH860" s="304">
        <f t="shared" ca="1" si="405"/>
        <v>-8.3241938226733012</v>
      </c>
    </row>
    <row r="861" spans="1:34" x14ac:dyDescent="0.3">
      <c r="A861" s="347">
        <f t="shared" ca="1" si="383"/>
        <v>1E-4</v>
      </c>
      <c r="B861" s="304">
        <f t="shared" ca="1" si="384"/>
        <v>16.151599999999842</v>
      </c>
      <c r="D861" s="306">
        <f t="shared" ca="1" si="385"/>
        <v>-0.59200996382782711</v>
      </c>
      <c r="E861" s="307">
        <f t="shared" ca="1" si="386"/>
        <v>-1.5068335707260783</v>
      </c>
      <c r="F861" s="304">
        <f t="shared" ca="1" si="387"/>
        <v>1.6189574445112904</v>
      </c>
      <c r="G861" s="306">
        <f t="shared" ca="1" si="388"/>
        <v>3.723710449824936</v>
      </c>
      <c r="H861" s="307">
        <f t="shared" ca="1" si="389"/>
        <v>-52.227445905098882</v>
      </c>
      <c r="I861" s="304">
        <f t="shared" ca="1" si="390"/>
        <v>52.360024114625517</v>
      </c>
      <c r="J861" s="306">
        <f t="shared" ca="1" si="391"/>
        <v>150.09587023194715</v>
      </c>
      <c r="K861" s="307">
        <f t="shared" ca="1" si="392"/>
        <v>-5.5170747131402083</v>
      </c>
      <c r="L861" s="304">
        <f t="shared" ca="1" si="377"/>
        <v>150.19723157926674</v>
      </c>
      <c r="M861" s="306">
        <f t="shared" ca="1" si="393"/>
        <v>-1.4996188097215704</v>
      </c>
      <c r="N861" s="304">
        <f t="shared" ca="1" si="394"/>
        <v>-85.921828675478054</v>
      </c>
      <c r="P861" s="310">
        <f t="shared" ca="1" si="395"/>
        <v>23</v>
      </c>
      <c r="Q861" s="304">
        <f t="shared" ca="1" si="396"/>
        <v>0</v>
      </c>
      <c r="R861" s="306">
        <f t="shared" ca="1" si="397"/>
        <v>0</v>
      </c>
      <c r="S861" s="307">
        <f t="shared" ca="1" si="398"/>
        <v>0.4270000000000001</v>
      </c>
      <c r="T861" s="304">
        <f t="shared" ca="1" si="378"/>
        <v>4.1888700000000014</v>
      </c>
      <c r="U861" s="311">
        <f t="shared" ca="1" si="379"/>
        <v>0</v>
      </c>
      <c r="V861" s="306">
        <f t="shared" ca="1" si="380"/>
        <v>1.225676028137247</v>
      </c>
      <c r="W861" s="304">
        <f t="shared" ca="1" si="381"/>
        <v>3.5544741454709263</v>
      </c>
      <c r="Y861" s="314" t="str">
        <f t="shared" ca="1" si="399"/>
        <v/>
      </c>
      <c r="Z861" s="315" t="str">
        <f t="shared" ca="1" si="400"/>
        <v/>
      </c>
      <c r="AA861" s="316" t="str">
        <f t="shared" ca="1" si="401"/>
        <v/>
      </c>
      <c r="AC861" s="310" t="e">
        <f t="shared" ca="1" si="402"/>
        <v>#N/A</v>
      </c>
      <c r="AD861" s="323" t="e">
        <f t="shared" ca="1" si="403"/>
        <v>#N/A</v>
      </c>
      <c r="AE861" s="324" t="e">
        <f t="shared" ca="1" si="382"/>
        <v>#N/A</v>
      </c>
      <c r="AG861" s="306">
        <f t="shared" ca="1" si="404"/>
        <v>1.4609150345679733</v>
      </c>
      <c r="AH861" s="304">
        <f t="shared" ca="1" si="405"/>
        <v>-8.3242446233572984</v>
      </c>
    </row>
    <row r="862" spans="1:34" x14ac:dyDescent="0.3">
      <c r="A862" s="347">
        <f t="shared" ca="1" si="383"/>
        <v>1E-4</v>
      </c>
      <c r="B862" s="304">
        <f t="shared" ca="1" si="384"/>
        <v>16.151699999999842</v>
      </c>
      <c r="D862" s="306">
        <f t="shared" ca="1" si="385"/>
        <v>-0.59200251292641914</v>
      </c>
      <c r="E862" s="307">
        <f t="shared" ca="1" si="386"/>
        <v>-1.506782111240474</v>
      </c>
      <c r="F862" s="304">
        <f t="shared" ca="1" si="387"/>
        <v>1.6189068243927738</v>
      </c>
      <c r="G862" s="306">
        <f t="shared" ca="1" si="388"/>
        <v>3.7236512495736434</v>
      </c>
      <c r="H862" s="307">
        <f t="shared" ca="1" si="389"/>
        <v>-52.227596583310003</v>
      </c>
      <c r="I862" s="304">
        <f t="shared" ca="1" si="390"/>
        <v>52.360170201188474</v>
      </c>
      <c r="J862" s="306">
        <f t="shared" ca="1" si="391"/>
        <v>150.09587023194715</v>
      </c>
      <c r="K862" s="307">
        <f t="shared" ca="1" si="392"/>
        <v>-5.5222974652646286</v>
      </c>
      <c r="L862" s="304">
        <f t="shared" ca="1" si="377"/>
        <v>150.19742351312283</v>
      </c>
      <c r="M862" s="306">
        <f t="shared" ca="1" si="393"/>
        <v>-1.4996201421504076</v>
      </c>
      <c r="N862" s="304">
        <f t="shared" ca="1" si="394"/>
        <v>-85.921905018026919</v>
      </c>
      <c r="P862" s="310">
        <f t="shared" ca="1" si="395"/>
        <v>23</v>
      </c>
      <c r="Q862" s="304">
        <f t="shared" ca="1" si="396"/>
        <v>0</v>
      </c>
      <c r="R862" s="306">
        <f t="shared" ca="1" si="397"/>
        <v>0</v>
      </c>
      <c r="S862" s="307">
        <f t="shared" ca="1" si="398"/>
        <v>0.4270000000000001</v>
      </c>
      <c r="T862" s="304">
        <f t="shared" ca="1" si="378"/>
        <v>4.1888700000000014</v>
      </c>
      <c r="U862" s="311">
        <f t="shared" ca="1" si="379"/>
        <v>0</v>
      </c>
      <c r="V862" s="306">
        <f t="shared" ca="1" si="380"/>
        <v>1.2256766682776707</v>
      </c>
      <c r="W862" s="304">
        <f t="shared" ca="1" si="381"/>
        <v>3.5544958361735817</v>
      </c>
      <c r="Y862" s="314" t="str">
        <f t="shared" ca="1" si="399"/>
        <v/>
      </c>
      <c r="Z862" s="315" t="str">
        <f t="shared" ca="1" si="400"/>
        <v/>
      </c>
      <c r="AA862" s="316" t="str">
        <f t="shared" ca="1" si="401"/>
        <v/>
      </c>
      <c r="AC862" s="310" t="e">
        <f t="shared" ca="1" si="402"/>
        <v>#N/A</v>
      </c>
      <c r="AD862" s="323" t="e">
        <f t="shared" ca="1" si="403"/>
        <v>#N/A</v>
      </c>
      <c r="AE862" s="324" t="e">
        <f t="shared" ca="1" si="382"/>
        <v>#N/A</v>
      </c>
      <c r="AG862" s="306">
        <f t="shared" ca="1" si="404"/>
        <v>1.4608651648903646</v>
      </c>
      <c r="AH862" s="304">
        <f t="shared" ca="1" si="405"/>
        <v>-8.3242954226485377</v>
      </c>
    </row>
    <row r="863" spans="1:34" x14ac:dyDescent="0.3">
      <c r="A863" s="347">
        <f t="shared" ca="1" si="383"/>
        <v>1E-4</v>
      </c>
      <c r="B863" s="304">
        <f t="shared" ca="1" si="384"/>
        <v>16.151799999999842</v>
      </c>
      <c r="D863" s="306">
        <f t="shared" ca="1" si="385"/>
        <v>-0.5919950620275104</v>
      </c>
      <c r="E863" s="307">
        <f t="shared" ca="1" si="386"/>
        <v>-1.5067306531661497</v>
      </c>
      <c r="F863" s="304">
        <f t="shared" ca="1" si="387"/>
        <v>1.6188562056759235</v>
      </c>
      <c r="G863" s="306">
        <f t="shared" ca="1" si="388"/>
        <v>3.7235920500674404</v>
      </c>
      <c r="H863" s="307">
        <f t="shared" ca="1" si="389"/>
        <v>-52.227747256375316</v>
      </c>
      <c r="I863" s="304">
        <f t="shared" ca="1" si="390"/>
        <v>52.360316282764614</v>
      </c>
      <c r="J863" s="306">
        <f t="shared" ca="1" si="391"/>
        <v>150.09587023194715</v>
      </c>
      <c r="K863" s="307">
        <f t="shared" ca="1" si="392"/>
        <v>-5.5275202324566131</v>
      </c>
      <c r="L863" s="304">
        <f t="shared" ca="1" si="377"/>
        <v>150.1976156288965</v>
      </c>
      <c r="M863" s="306">
        <f t="shared" ca="1" si="393"/>
        <v>-1.4996214745506269</v>
      </c>
      <c r="N863" s="304">
        <f t="shared" ca="1" si="394"/>
        <v>-85.921981358936108</v>
      </c>
      <c r="P863" s="310">
        <f t="shared" ca="1" si="395"/>
        <v>23</v>
      </c>
      <c r="Q863" s="304">
        <f t="shared" ca="1" si="396"/>
        <v>0</v>
      </c>
      <c r="R863" s="306">
        <f t="shared" ca="1" si="397"/>
        <v>0</v>
      </c>
      <c r="S863" s="307">
        <f t="shared" ca="1" si="398"/>
        <v>0.4270000000000001</v>
      </c>
      <c r="T863" s="304">
        <f t="shared" ca="1" si="378"/>
        <v>4.1888700000000014</v>
      </c>
      <c r="U863" s="311">
        <f t="shared" ca="1" si="379"/>
        <v>0</v>
      </c>
      <c r="V863" s="306">
        <f t="shared" ca="1" si="380"/>
        <v>1.2256773084202757</v>
      </c>
      <c r="W863" s="304">
        <f t="shared" ca="1" si="381"/>
        <v>3.5545175262815527</v>
      </c>
      <c r="Y863" s="314" t="str">
        <f t="shared" ca="1" si="399"/>
        <v/>
      </c>
      <c r="Z863" s="315" t="str">
        <f t="shared" ca="1" si="400"/>
        <v/>
      </c>
      <c r="AA863" s="316" t="str">
        <f t="shared" ca="1" si="401"/>
        <v/>
      </c>
      <c r="AC863" s="310" t="e">
        <f t="shared" ca="1" si="402"/>
        <v>#N/A</v>
      </c>
      <c r="AD863" s="323" t="e">
        <f t="shared" ca="1" si="403"/>
        <v>#N/A</v>
      </c>
      <c r="AE863" s="324" t="e">
        <f t="shared" ca="1" si="382"/>
        <v>#N/A</v>
      </c>
      <c r="AG863" s="306">
        <f t="shared" ca="1" si="404"/>
        <v>1.4608152965681658</v>
      </c>
      <c r="AH863" s="304">
        <f t="shared" ca="1" si="405"/>
        <v>-8.324346220547028</v>
      </c>
    </row>
    <row r="864" spans="1:34" x14ac:dyDescent="0.3">
      <c r="A864" s="347">
        <f t="shared" ca="1" si="383"/>
        <v>1E-4</v>
      </c>
      <c r="B864" s="304">
        <f t="shared" ca="1" si="384"/>
        <v>16.151899999999841</v>
      </c>
      <c r="D864" s="306">
        <f t="shared" ca="1" si="385"/>
        <v>-0.59198761113110687</v>
      </c>
      <c r="E864" s="307">
        <f t="shared" ca="1" si="386"/>
        <v>-1.5066791965030593</v>
      </c>
      <c r="F864" s="304">
        <f t="shared" ca="1" si="387"/>
        <v>1.6188055883606958</v>
      </c>
      <c r="G864" s="306">
        <f t="shared" ca="1" si="388"/>
        <v>3.7235328513063273</v>
      </c>
      <c r="H864" s="307">
        <f t="shared" ca="1" si="389"/>
        <v>-52.227897924294965</v>
      </c>
      <c r="I864" s="304">
        <f t="shared" ca="1" si="390"/>
        <v>52.360462359354045</v>
      </c>
      <c r="J864" s="306">
        <f t="shared" ca="1" si="391"/>
        <v>150.09587023194715</v>
      </c>
      <c r="K864" s="307">
        <f t="shared" ca="1" si="392"/>
        <v>-5.5327430147156464</v>
      </c>
      <c r="L864" s="304">
        <f t="shared" ca="1" si="377"/>
        <v>150.19780792658861</v>
      </c>
      <c r="M864" s="306">
        <f t="shared" ca="1" si="393"/>
        <v>-1.4996228069222293</v>
      </c>
      <c r="N864" s="304">
        <f t="shared" ca="1" si="394"/>
        <v>-85.922057698205677</v>
      </c>
      <c r="P864" s="310">
        <f t="shared" ca="1" si="395"/>
        <v>23</v>
      </c>
      <c r="Q864" s="304">
        <f t="shared" ca="1" si="396"/>
        <v>0</v>
      </c>
      <c r="R864" s="306">
        <f t="shared" ca="1" si="397"/>
        <v>0</v>
      </c>
      <c r="S864" s="307">
        <f t="shared" ca="1" si="398"/>
        <v>0.4270000000000001</v>
      </c>
      <c r="T864" s="304">
        <f t="shared" ca="1" si="378"/>
        <v>4.1888700000000014</v>
      </c>
      <c r="U864" s="311">
        <f t="shared" ca="1" si="379"/>
        <v>0</v>
      </c>
      <c r="V864" s="306">
        <f t="shared" ca="1" si="380"/>
        <v>1.2256779485650622</v>
      </c>
      <c r="W864" s="304">
        <f t="shared" ca="1" si="381"/>
        <v>3.5545392157948479</v>
      </c>
      <c r="Y864" s="314" t="str">
        <f t="shared" ca="1" si="399"/>
        <v/>
      </c>
      <c r="Z864" s="315" t="str">
        <f t="shared" ca="1" si="400"/>
        <v/>
      </c>
      <c r="AA864" s="316" t="str">
        <f t="shared" ca="1" si="401"/>
        <v/>
      </c>
      <c r="AC864" s="310" t="e">
        <f t="shared" ca="1" si="402"/>
        <v>#N/A</v>
      </c>
      <c r="AD864" s="323" t="e">
        <f t="shared" ca="1" si="403"/>
        <v>#N/A</v>
      </c>
      <c r="AE864" s="324" t="e">
        <f t="shared" ca="1" si="382"/>
        <v>#N/A</v>
      </c>
      <c r="AG864" s="306">
        <f t="shared" ca="1" si="404"/>
        <v>1.4607654296013326</v>
      </c>
      <c r="AH864" s="304">
        <f t="shared" ca="1" si="405"/>
        <v>-8.3243970170528154</v>
      </c>
    </row>
    <row r="865" spans="1:34" x14ac:dyDescent="0.3">
      <c r="A865" s="347">
        <f t="shared" ca="1" si="383"/>
        <v>1E-4</v>
      </c>
      <c r="B865" s="304">
        <f t="shared" ca="1" si="384"/>
        <v>16.151999999999841</v>
      </c>
      <c r="D865" s="306">
        <f t="shared" ca="1" si="385"/>
        <v>-0.59198016023721067</v>
      </c>
      <c r="E865" s="307">
        <f t="shared" ca="1" si="386"/>
        <v>-1.5066277412511813</v>
      </c>
      <c r="F865" s="304">
        <f t="shared" ca="1" si="387"/>
        <v>1.6187549724470687</v>
      </c>
      <c r="G865" s="306">
        <f t="shared" ca="1" si="388"/>
        <v>3.7234736532903034</v>
      </c>
      <c r="H865" s="307">
        <f t="shared" ca="1" si="389"/>
        <v>-52.22804858706909</v>
      </c>
      <c r="I865" s="304">
        <f t="shared" ca="1" si="390"/>
        <v>52.360608430956916</v>
      </c>
      <c r="J865" s="306">
        <f t="shared" ca="1" si="391"/>
        <v>150.09587023194715</v>
      </c>
      <c r="K865" s="307">
        <f t="shared" ca="1" si="392"/>
        <v>-5.5379658120412145</v>
      </c>
      <c r="L865" s="304">
        <f t="shared" ca="1" si="377"/>
        <v>150.19800040619998</v>
      </c>
      <c r="M865" s="306">
        <f t="shared" ca="1" si="393"/>
        <v>-1.499624139265215</v>
      </c>
      <c r="N865" s="304">
        <f t="shared" ca="1" si="394"/>
        <v>-85.922134035835612</v>
      </c>
      <c r="P865" s="310">
        <f t="shared" ca="1" si="395"/>
        <v>23</v>
      </c>
      <c r="Q865" s="304">
        <f t="shared" ca="1" si="396"/>
        <v>0</v>
      </c>
      <c r="R865" s="306">
        <f t="shared" ca="1" si="397"/>
        <v>0</v>
      </c>
      <c r="S865" s="307">
        <f t="shared" ca="1" si="398"/>
        <v>0.4270000000000001</v>
      </c>
      <c r="T865" s="304">
        <f t="shared" ca="1" si="378"/>
        <v>4.1888700000000014</v>
      </c>
      <c r="U865" s="311">
        <f t="shared" ca="1" si="379"/>
        <v>0</v>
      </c>
      <c r="V865" s="306">
        <f t="shared" ca="1" si="380"/>
        <v>1.2256785887120294</v>
      </c>
      <c r="W865" s="304">
        <f t="shared" ca="1" si="381"/>
        <v>3.5545609047134774</v>
      </c>
      <c r="Y865" s="314" t="str">
        <f t="shared" ca="1" si="399"/>
        <v/>
      </c>
      <c r="Z865" s="315" t="str">
        <f t="shared" ca="1" si="400"/>
        <v/>
      </c>
      <c r="AA865" s="316" t="str">
        <f t="shared" ca="1" si="401"/>
        <v/>
      </c>
      <c r="AC865" s="310" t="e">
        <f t="shared" ca="1" si="402"/>
        <v>#N/A</v>
      </c>
      <c r="AD865" s="323" t="e">
        <f t="shared" ca="1" si="403"/>
        <v>#N/A</v>
      </c>
      <c r="AE865" s="324" t="e">
        <f t="shared" ca="1" si="382"/>
        <v>#N/A</v>
      </c>
      <c r="AG865" s="306">
        <f t="shared" ca="1" si="404"/>
        <v>1.4607155639898473</v>
      </c>
      <c r="AH865" s="304">
        <f t="shared" ca="1" si="405"/>
        <v>-8.3244478121659178</v>
      </c>
    </row>
    <row r="866" spans="1:34" x14ac:dyDescent="0.3">
      <c r="A866" s="347">
        <f t="shared" ca="1" si="383"/>
        <v>1E-4</v>
      </c>
      <c r="B866" s="304">
        <f t="shared" ca="1" si="384"/>
        <v>16.152099999999841</v>
      </c>
      <c r="D866" s="306">
        <f t="shared" ca="1" si="385"/>
        <v>-0.59197270934583179</v>
      </c>
      <c r="E866" s="307">
        <f t="shared" ca="1" si="386"/>
        <v>-1.5065762874104927</v>
      </c>
      <c r="F866" s="304">
        <f t="shared" ca="1" si="387"/>
        <v>1.6187043579350209</v>
      </c>
      <c r="G866" s="306">
        <f t="shared" ca="1" si="388"/>
        <v>3.7234144560193689</v>
      </c>
      <c r="H866" s="307">
        <f t="shared" ca="1" si="389"/>
        <v>-52.228199244697834</v>
      </c>
      <c r="I866" s="304">
        <f t="shared" ca="1" si="390"/>
        <v>52.360754497573367</v>
      </c>
      <c r="J866" s="306">
        <f t="shared" ca="1" si="391"/>
        <v>150.09587023194715</v>
      </c>
      <c r="K866" s="307">
        <f t="shared" ca="1" si="392"/>
        <v>-5.543188624432803</v>
      </c>
      <c r="L866" s="304">
        <f t="shared" ca="1" si="377"/>
        <v>150.19819306773155</v>
      </c>
      <c r="M866" s="306">
        <f t="shared" ca="1" si="393"/>
        <v>-1.4996254715795854</v>
      </c>
      <c r="N866" s="304">
        <f t="shared" ca="1" si="394"/>
        <v>-85.922210371826026</v>
      </c>
      <c r="P866" s="310">
        <f t="shared" ca="1" si="395"/>
        <v>23</v>
      </c>
      <c r="Q866" s="304">
        <f t="shared" ca="1" si="396"/>
        <v>0</v>
      </c>
      <c r="R866" s="306">
        <f t="shared" ca="1" si="397"/>
        <v>0</v>
      </c>
      <c r="S866" s="307">
        <f t="shared" ca="1" si="398"/>
        <v>0.4270000000000001</v>
      </c>
      <c r="T866" s="304">
        <f t="shared" ca="1" si="378"/>
        <v>4.1888700000000014</v>
      </c>
      <c r="U866" s="311">
        <f t="shared" ca="1" si="379"/>
        <v>0</v>
      </c>
      <c r="V866" s="306">
        <f t="shared" ca="1" si="380"/>
        <v>1.225679228861178</v>
      </c>
      <c r="W866" s="304">
        <f t="shared" ca="1" si="381"/>
        <v>3.5545825930374568</v>
      </c>
      <c r="Y866" s="314" t="str">
        <f t="shared" ca="1" si="399"/>
        <v/>
      </c>
      <c r="Z866" s="315" t="str">
        <f t="shared" ca="1" si="400"/>
        <v/>
      </c>
      <c r="AA866" s="316" t="str">
        <f t="shared" ca="1" si="401"/>
        <v/>
      </c>
      <c r="AC866" s="310" t="e">
        <f t="shared" ca="1" si="402"/>
        <v>#N/A</v>
      </c>
      <c r="AD866" s="323" t="e">
        <f t="shared" ca="1" si="403"/>
        <v>#N/A</v>
      </c>
      <c r="AE866" s="324" t="e">
        <f t="shared" ca="1" si="382"/>
        <v>#N/A</v>
      </c>
      <c r="AG866" s="306">
        <f t="shared" ca="1" si="404"/>
        <v>1.4606656997336884</v>
      </c>
      <c r="AH866" s="304">
        <f t="shared" ca="1" si="405"/>
        <v>-8.3244986058863617</v>
      </c>
    </row>
    <row r="867" spans="1:34" x14ac:dyDescent="0.3">
      <c r="A867" s="347">
        <f t="shared" ca="1" si="383"/>
        <v>1E-4</v>
      </c>
      <c r="B867" s="304">
        <f t="shared" ca="1" si="384"/>
        <v>16.152199999999841</v>
      </c>
      <c r="D867" s="306">
        <f t="shared" ca="1" si="385"/>
        <v>-0.59196525845697157</v>
      </c>
      <c r="E867" s="307">
        <f t="shared" ca="1" si="386"/>
        <v>-1.5065248349809544</v>
      </c>
      <c r="F867" s="304">
        <f t="shared" ca="1" si="387"/>
        <v>1.6186537448245133</v>
      </c>
      <c r="G867" s="306">
        <f t="shared" ca="1" si="388"/>
        <v>3.7233552594935233</v>
      </c>
      <c r="H867" s="307">
        <f t="shared" ca="1" si="389"/>
        <v>-52.228349897181332</v>
      </c>
      <c r="I867" s="304">
        <f t="shared" ca="1" si="390"/>
        <v>52.360900559203515</v>
      </c>
      <c r="J867" s="306">
        <f t="shared" ca="1" si="391"/>
        <v>150.09587023194715</v>
      </c>
      <c r="K867" s="307">
        <f t="shared" ca="1" si="392"/>
        <v>-5.5484114518898968</v>
      </c>
      <c r="L867" s="304">
        <f t="shared" ca="1" si="377"/>
        <v>150.19838591118406</v>
      </c>
      <c r="M867" s="306">
        <f t="shared" ca="1" si="393"/>
        <v>-1.4996268038653411</v>
      </c>
      <c r="N867" s="304">
        <f t="shared" ca="1" si="394"/>
        <v>-85.922286706176934</v>
      </c>
      <c r="P867" s="310">
        <f t="shared" ca="1" si="395"/>
        <v>23</v>
      </c>
      <c r="Q867" s="304">
        <f t="shared" ca="1" si="396"/>
        <v>0</v>
      </c>
      <c r="R867" s="306">
        <f t="shared" ca="1" si="397"/>
        <v>0</v>
      </c>
      <c r="S867" s="307">
        <f t="shared" ca="1" si="398"/>
        <v>0.4270000000000001</v>
      </c>
      <c r="T867" s="304">
        <f t="shared" ca="1" si="378"/>
        <v>4.1888700000000014</v>
      </c>
      <c r="U867" s="311">
        <f t="shared" ca="1" si="379"/>
        <v>0</v>
      </c>
      <c r="V867" s="306">
        <f t="shared" ca="1" si="380"/>
        <v>1.2256798690125075</v>
      </c>
      <c r="W867" s="304">
        <f t="shared" ca="1" si="381"/>
        <v>3.5546042807667928</v>
      </c>
      <c r="Y867" s="314" t="str">
        <f t="shared" ca="1" si="399"/>
        <v/>
      </c>
      <c r="Z867" s="315" t="str">
        <f t="shared" ca="1" si="400"/>
        <v/>
      </c>
      <c r="AA867" s="316" t="str">
        <f t="shared" ca="1" si="401"/>
        <v/>
      </c>
      <c r="AC867" s="310" t="e">
        <f t="shared" ca="1" si="402"/>
        <v>#N/A</v>
      </c>
      <c r="AD867" s="323" t="e">
        <f t="shared" ca="1" si="403"/>
        <v>#N/A</v>
      </c>
      <c r="AE867" s="324" t="e">
        <f t="shared" ca="1" si="382"/>
        <v>#N/A</v>
      </c>
      <c r="AG867" s="306">
        <f t="shared" ca="1" si="404"/>
        <v>1.4606158368328188</v>
      </c>
      <c r="AH867" s="304">
        <f t="shared" ca="1" si="405"/>
        <v>-8.3245493982141827</v>
      </c>
    </row>
    <row r="868" spans="1:34" x14ac:dyDescent="0.3">
      <c r="A868" s="347">
        <f t="shared" ca="1" si="383"/>
        <v>1E-4</v>
      </c>
      <c r="B868" s="304">
        <f t="shared" ca="1" si="384"/>
        <v>16.15229999999984</v>
      </c>
      <c r="D868" s="306">
        <f t="shared" ca="1" si="385"/>
        <v>-0.59195780757063543</v>
      </c>
      <c r="E868" s="307">
        <f t="shared" ca="1" si="386"/>
        <v>-1.5064733839625521</v>
      </c>
      <c r="F868" s="304">
        <f t="shared" ca="1" si="387"/>
        <v>1.6186031331155319</v>
      </c>
      <c r="G868" s="306">
        <f t="shared" ca="1" si="388"/>
        <v>3.7232960637127661</v>
      </c>
      <c r="H868" s="307">
        <f t="shared" ca="1" si="389"/>
        <v>-52.228500544519726</v>
      </c>
      <c r="I868" s="304">
        <f t="shared" ca="1" si="390"/>
        <v>52.361046615847506</v>
      </c>
      <c r="J868" s="306">
        <f t="shared" ca="1" si="391"/>
        <v>150.09587023194715</v>
      </c>
      <c r="K868" s="307">
        <f t="shared" ca="1" si="392"/>
        <v>-5.5536342944119816</v>
      </c>
      <c r="L868" s="304">
        <f t="shared" ca="1" si="377"/>
        <v>150.19857893655848</v>
      </c>
      <c r="M868" s="306">
        <f t="shared" ca="1" si="393"/>
        <v>-1.4996281361224828</v>
      </c>
      <c r="N868" s="304">
        <f t="shared" ca="1" si="394"/>
        <v>-85.922363038888378</v>
      </c>
      <c r="P868" s="310">
        <f t="shared" ca="1" si="395"/>
        <v>23</v>
      </c>
      <c r="Q868" s="304">
        <f t="shared" ca="1" si="396"/>
        <v>0</v>
      </c>
      <c r="R868" s="306">
        <f t="shared" ca="1" si="397"/>
        <v>0</v>
      </c>
      <c r="S868" s="307">
        <f t="shared" ca="1" si="398"/>
        <v>0.4270000000000001</v>
      </c>
      <c r="T868" s="304">
        <f t="shared" ca="1" si="378"/>
        <v>4.1888700000000014</v>
      </c>
      <c r="U868" s="311">
        <f t="shared" ca="1" si="379"/>
        <v>0</v>
      </c>
      <c r="V868" s="306">
        <f t="shared" ca="1" si="380"/>
        <v>1.2256805091660175</v>
      </c>
      <c r="W868" s="304">
        <f t="shared" ca="1" si="381"/>
        <v>3.5546259679014987</v>
      </c>
      <c r="Y868" s="314" t="str">
        <f t="shared" ca="1" si="399"/>
        <v/>
      </c>
      <c r="Z868" s="315" t="str">
        <f t="shared" ca="1" si="400"/>
        <v/>
      </c>
      <c r="AA868" s="316" t="str">
        <f t="shared" ca="1" si="401"/>
        <v/>
      </c>
      <c r="AC868" s="310" t="e">
        <f t="shared" ca="1" si="402"/>
        <v>#N/A</v>
      </c>
      <c r="AD868" s="323" t="e">
        <f t="shared" ca="1" si="403"/>
        <v>#N/A</v>
      </c>
      <c r="AE868" s="324" t="e">
        <f t="shared" ca="1" si="382"/>
        <v>#N/A</v>
      </c>
      <c r="AG868" s="306">
        <f t="shared" ca="1" si="404"/>
        <v>1.460565975287226</v>
      </c>
      <c r="AH868" s="304">
        <f t="shared" ca="1" si="405"/>
        <v>-8.324600189149395</v>
      </c>
    </row>
    <row r="869" spans="1:34" x14ac:dyDescent="0.3">
      <c r="A869" s="347">
        <f t="shared" ca="1" si="383"/>
        <v>1E-4</v>
      </c>
      <c r="B869" s="304">
        <f t="shared" ca="1" si="384"/>
        <v>16.15239999999984</v>
      </c>
      <c r="D869" s="306">
        <f t="shared" ca="1" si="385"/>
        <v>-0.59195035668683038</v>
      </c>
      <c r="E869" s="307">
        <f t="shared" ca="1" si="386"/>
        <v>-1.5064219343552541</v>
      </c>
      <c r="F869" s="304">
        <f t="shared" ca="1" si="387"/>
        <v>1.6185525228080462</v>
      </c>
      <c r="G869" s="306">
        <f t="shared" ca="1" si="388"/>
        <v>3.7232368686770974</v>
      </c>
      <c r="H869" s="307">
        <f t="shared" ca="1" si="389"/>
        <v>-52.228651186713158</v>
      </c>
      <c r="I869" s="304">
        <f t="shared" ca="1" si="390"/>
        <v>52.361192667505485</v>
      </c>
      <c r="J869" s="306">
        <f t="shared" ca="1" si="391"/>
        <v>150.09587023194715</v>
      </c>
      <c r="K869" s="307">
        <f t="shared" ca="1" si="392"/>
        <v>-5.5588571519985432</v>
      </c>
      <c r="L869" s="304">
        <f t="shared" ca="1" si="377"/>
        <v>150.19877214385556</v>
      </c>
      <c r="M869" s="306">
        <f t="shared" ca="1" si="393"/>
        <v>-1.4996294683510116</v>
      </c>
      <c r="N869" s="304">
        <f t="shared" ca="1" si="394"/>
        <v>-85.922439369960429</v>
      </c>
      <c r="P869" s="310">
        <f t="shared" ca="1" si="395"/>
        <v>23</v>
      </c>
      <c r="Q869" s="304">
        <f t="shared" ca="1" si="396"/>
        <v>0</v>
      </c>
      <c r="R869" s="306">
        <f t="shared" ca="1" si="397"/>
        <v>0</v>
      </c>
      <c r="S869" s="307">
        <f t="shared" ca="1" si="398"/>
        <v>0.4270000000000001</v>
      </c>
      <c r="T869" s="304">
        <f t="shared" ca="1" si="378"/>
        <v>4.1888700000000014</v>
      </c>
      <c r="U869" s="311">
        <f t="shared" ca="1" si="379"/>
        <v>0</v>
      </c>
      <c r="V869" s="306">
        <f t="shared" ca="1" si="380"/>
        <v>1.2256811493217088</v>
      </c>
      <c r="W869" s="304">
        <f t="shared" ca="1" si="381"/>
        <v>3.5546476544415899</v>
      </c>
      <c r="Y869" s="314" t="str">
        <f t="shared" ca="1" si="399"/>
        <v/>
      </c>
      <c r="Z869" s="315" t="str">
        <f t="shared" ca="1" si="400"/>
        <v/>
      </c>
      <c r="AA869" s="316" t="str">
        <f t="shared" ca="1" si="401"/>
        <v/>
      </c>
      <c r="AC869" s="310" t="e">
        <f t="shared" ca="1" si="402"/>
        <v>#N/A</v>
      </c>
      <c r="AD869" s="323" t="e">
        <f t="shared" ca="1" si="403"/>
        <v>#N/A</v>
      </c>
      <c r="AE869" s="324" t="e">
        <f t="shared" ca="1" si="382"/>
        <v>#N/A</v>
      </c>
      <c r="AG869" s="306">
        <f t="shared" ca="1" si="404"/>
        <v>1.4605161150968851</v>
      </c>
      <c r="AH869" s="304">
        <f t="shared" ca="1" si="405"/>
        <v>-8.3246509786920324</v>
      </c>
    </row>
    <row r="870" spans="1:34" x14ac:dyDescent="0.3">
      <c r="A870" s="347">
        <f t="shared" ca="1" si="383"/>
        <v>1E-4</v>
      </c>
      <c r="B870" s="304">
        <f t="shared" ca="1" si="384"/>
        <v>16.15249999999984</v>
      </c>
      <c r="D870" s="306">
        <f t="shared" ca="1" si="385"/>
        <v>-0.59194290580555942</v>
      </c>
      <c r="E870" s="307">
        <f t="shared" ca="1" si="386"/>
        <v>-1.5063704861590246</v>
      </c>
      <c r="F870" s="304">
        <f t="shared" ca="1" si="387"/>
        <v>1.6185019139020211</v>
      </c>
      <c r="G870" s="306">
        <f t="shared" ca="1" si="388"/>
        <v>3.7231776743865166</v>
      </c>
      <c r="H870" s="307">
        <f t="shared" ca="1" si="389"/>
        <v>-52.228801823761771</v>
      </c>
      <c r="I870" s="304">
        <f t="shared" ca="1" si="390"/>
        <v>52.36133871417757</v>
      </c>
      <c r="J870" s="306">
        <f t="shared" ca="1" si="391"/>
        <v>150.09587023194715</v>
      </c>
      <c r="K870" s="307">
        <f t="shared" ca="1" si="392"/>
        <v>-5.5640800246490674</v>
      </c>
      <c r="L870" s="304">
        <f t="shared" ca="1" si="377"/>
        <v>150.1989655330762</v>
      </c>
      <c r="M870" s="306">
        <f t="shared" ca="1" si="393"/>
        <v>-1.499630800550928</v>
      </c>
      <c r="N870" s="304">
        <f t="shared" ca="1" si="394"/>
        <v>-85.922515699393102</v>
      </c>
      <c r="P870" s="310">
        <f t="shared" ca="1" si="395"/>
        <v>23</v>
      </c>
      <c r="Q870" s="304">
        <f t="shared" ca="1" si="396"/>
        <v>0</v>
      </c>
      <c r="R870" s="306">
        <f t="shared" ca="1" si="397"/>
        <v>0</v>
      </c>
      <c r="S870" s="307">
        <f t="shared" ca="1" si="398"/>
        <v>0.4270000000000001</v>
      </c>
      <c r="T870" s="304">
        <f t="shared" ca="1" si="378"/>
        <v>4.1888700000000014</v>
      </c>
      <c r="U870" s="311">
        <f t="shared" ca="1" si="379"/>
        <v>0</v>
      </c>
      <c r="V870" s="306">
        <f t="shared" ca="1" si="380"/>
        <v>1.2256817894795806</v>
      </c>
      <c r="W870" s="304">
        <f t="shared" ca="1" si="381"/>
        <v>3.5546693403870733</v>
      </c>
      <c r="Y870" s="314" t="str">
        <f t="shared" ca="1" si="399"/>
        <v/>
      </c>
      <c r="Z870" s="315" t="str">
        <f t="shared" ca="1" si="400"/>
        <v/>
      </c>
      <c r="AA870" s="316" t="str">
        <f t="shared" ca="1" si="401"/>
        <v/>
      </c>
      <c r="AC870" s="310" t="e">
        <f t="shared" ca="1" si="402"/>
        <v>#N/A</v>
      </c>
      <c r="AD870" s="323" t="e">
        <f t="shared" ca="1" si="403"/>
        <v>#N/A</v>
      </c>
      <c r="AE870" s="324" t="e">
        <f t="shared" ca="1" si="382"/>
        <v>#N/A</v>
      </c>
      <c r="AG870" s="306">
        <f t="shared" ca="1" si="404"/>
        <v>1.4604662562617534</v>
      </c>
      <c r="AH870" s="304">
        <f t="shared" ca="1" si="405"/>
        <v>-8.3247017668421286</v>
      </c>
    </row>
    <row r="871" spans="1:34" x14ac:dyDescent="0.3">
      <c r="A871" s="347">
        <f t="shared" ca="1" si="383"/>
        <v>1E-4</v>
      </c>
      <c r="B871" s="304">
        <f t="shared" ca="1" si="384"/>
        <v>16.15259999999984</v>
      </c>
      <c r="D871" s="306">
        <f t="shared" ca="1" si="385"/>
        <v>-0.5919354549268302</v>
      </c>
      <c r="E871" s="307">
        <f t="shared" ca="1" si="386"/>
        <v>-1.5063190393738441</v>
      </c>
      <c r="F871" s="304">
        <f t="shared" ca="1" si="387"/>
        <v>1.6184513063974382</v>
      </c>
      <c r="G871" s="306">
        <f t="shared" ca="1" si="388"/>
        <v>3.7231184808410238</v>
      </c>
      <c r="H871" s="307">
        <f t="shared" ca="1" si="389"/>
        <v>-52.228952455665706</v>
      </c>
      <c r="I871" s="304">
        <f t="shared" ca="1" si="390"/>
        <v>52.361484755863913</v>
      </c>
      <c r="J871" s="306">
        <f t="shared" ca="1" si="391"/>
        <v>150.09587023194715</v>
      </c>
      <c r="K871" s="307">
        <f t="shared" ca="1" si="392"/>
        <v>-5.5693029123630389</v>
      </c>
      <c r="L871" s="304">
        <f t="shared" ca="1" si="377"/>
        <v>150.19915910422125</v>
      </c>
      <c r="M871" s="306">
        <f t="shared" ca="1" si="393"/>
        <v>-1.4996321327222331</v>
      </c>
      <c r="N871" s="304">
        <f t="shared" ca="1" si="394"/>
        <v>-85.922592027186468</v>
      </c>
      <c r="P871" s="310">
        <f t="shared" ca="1" si="395"/>
        <v>23</v>
      </c>
      <c r="Q871" s="304">
        <f t="shared" ca="1" si="396"/>
        <v>0</v>
      </c>
      <c r="R871" s="306">
        <f t="shared" ca="1" si="397"/>
        <v>0</v>
      </c>
      <c r="S871" s="307">
        <f t="shared" ca="1" si="398"/>
        <v>0.4270000000000001</v>
      </c>
      <c r="T871" s="304">
        <f t="shared" ca="1" si="378"/>
        <v>4.1888700000000014</v>
      </c>
      <c r="U871" s="311">
        <f t="shared" ca="1" si="379"/>
        <v>0</v>
      </c>
      <c r="V871" s="306">
        <f t="shared" ca="1" si="380"/>
        <v>1.2256824296396334</v>
      </c>
      <c r="W871" s="304">
        <f t="shared" ca="1" si="381"/>
        <v>3.5546910257379634</v>
      </c>
      <c r="Y871" s="314" t="str">
        <f t="shared" ca="1" si="399"/>
        <v/>
      </c>
      <c r="Z871" s="315" t="str">
        <f t="shared" ca="1" si="400"/>
        <v/>
      </c>
      <c r="AA871" s="316" t="str">
        <f t="shared" ca="1" si="401"/>
        <v/>
      </c>
      <c r="AC871" s="310" t="e">
        <f t="shared" ca="1" si="402"/>
        <v>#N/A</v>
      </c>
      <c r="AD871" s="323" t="e">
        <f t="shared" ca="1" si="403"/>
        <v>#N/A</v>
      </c>
      <c r="AE871" s="324" t="e">
        <f t="shared" ca="1" si="382"/>
        <v>#N/A</v>
      </c>
      <c r="AG871" s="306">
        <f t="shared" ca="1" si="404"/>
        <v>1.4604163987818204</v>
      </c>
      <c r="AH871" s="304">
        <f t="shared" ca="1" si="405"/>
        <v>-8.3247525535997013</v>
      </c>
    </row>
    <row r="872" spans="1:34" x14ac:dyDescent="0.3">
      <c r="A872" s="347">
        <f t="shared" ca="1" si="383"/>
        <v>1E-4</v>
      </c>
      <c r="B872" s="304">
        <f t="shared" ca="1" si="384"/>
        <v>16.15269999999984</v>
      </c>
      <c r="D872" s="306">
        <f t="shared" ca="1" si="385"/>
        <v>-0.59192800405064561</v>
      </c>
      <c r="E872" s="307">
        <f t="shared" ca="1" si="386"/>
        <v>-1.5062675939996826</v>
      </c>
      <c r="F872" s="304">
        <f t="shared" ca="1" si="387"/>
        <v>1.6184007002942669</v>
      </c>
      <c r="G872" s="306">
        <f t="shared" ca="1" si="388"/>
        <v>3.7230592880406186</v>
      </c>
      <c r="H872" s="307">
        <f t="shared" ca="1" si="389"/>
        <v>-52.229103082425105</v>
      </c>
      <c r="I872" s="304">
        <f t="shared" ca="1" si="390"/>
        <v>52.361630792564632</v>
      </c>
      <c r="J872" s="306">
        <f t="shared" ca="1" si="391"/>
        <v>150.09587023194715</v>
      </c>
      <c r="K872" s="307">
        <f t="shared" ca="1" si="392"/>
        <v>-5.5745258151399435</v>
      </c>
      <c r="L872" s="304">
        <f t="shared" ca="1" si="377"/>
        <v>150.19935285729156</v>
      </c>
      <c r="M872" s="306">
        <f t="shared" ca="1" si="393"/>
        <v>-1.4996334648649274</v>
      </c>
      <c r="N872" s="304">
        <f t="shared" ca="1" si="394"/>
        <v>-85.922668353340569</v>
      </c>
      <c r="P872" s="310">
        <f t="shared" ca="1" si="395"/>
        <v>23</v>
      </c>
      <c r="Q872" s="304">
        <f t="shared" ca="1" si="396"/>
        <v>0</v>
      </c>
      <c r="R872" s="306">
        <f t="shared" ca="1" si="397"/>
        <v>0</v>
      </c>
      <c r="S872" s="307">
        <f t="shared" ca="1" si="398"/>
        <v>0.4270000000000001</v>
      </c>
      <c r="T872" s="304">
        <f t="shared" ca="1" si="378"/>
        <v>4.1888700000000014</v>
      </c>
      <c r="U872" s="311">
        <f t="shared" ca="1" si="379"/>
        <v>0</v>
      </c>
      <c r="V872" s="306">
        <f t="shared" ca="1" si="380"/>
        <v>1.2256830698018668</v>
      </c>
      <c r="W872" s="304">
        <f t="shared" ca="1" si="381"/>
        <v>3.5547127104942704</v>
      </c>
      <c r="Y872" s="314" t="str">
        <f t="shared" ca="1" si="399"/>
        <v/>
      </c>
      <c r="Z872" s="315" t="str">
        <f t="shared" ca="1" si="400"/>
        <v/>
      </c>
      <c r="AA872" s="316" t="str">
        <f t="shared" ca="1" si="401"/>
        <v/>
      </c>
      <c r="AC872" s="310" t="e">
        <f t="shared" ca="1" si="402"/>
        <v>#N/A</v>
      </c>
      <c r="AD872" s="323" t="e">
        <f t="shared" ca="1" si="403"/>
        <v>#N/A</v>
      </c>
      <c r="AE872" s="324" t="e">
        <f t="shared" ca="1" si="382"/>
        <v>#N/A</v>
      </c>
      <c r="AG872" s="306">
        <f t="shared" ca="1" si="404"/>
        <v>1.4603665426570558</v>
      </c>
      <c r="AH872" s="304">
        <f t="shared" ca="1" si="405"/>
        <v>-8.3248033389647826</v>
      </c>
    </row>
    <row r="873" spans="1:34" x14ac:dyDescent="0.3">
      <c r="A873" s="347">
        <f t="shared" ca="1" si="383"/>
        <v>1E-4</v>
      </c>
      <c r="B873" s="304">
        <f t="shared" ca="1" si="384"/>
        <v>16.152799999999839</v>
      </c>
      <c r="D873" s="306">
        <f t="shared" ca="1" si="385"/>
        <v>-0.59192055317701198</v>
      </c>
      <c r="E873" s="307">
        <f t="shared" ca="1" si="386"/>
        <v>-1.5062161500365132</v>
      </c>
      <c r="F873" s="304">
        <f t="shared" ca="1" si="387"/>
        <v>1.6183500955924821</v>
      </c>
      <c r="G873" s="306">
        <f t="shared" ca="1" si="388"/>
        <v>3.7230000959853009</v>
      </c>
      <c r="H873" s="307">
        <f t="shared" ca="1" si="389"/>
        <v>-52.229253704040111</v>
      </c>
      <c r="I873" s="304">
        <f t="shared" ca="1" si="390"/>
        <v>52.361776824279886</v>
      </c>
      <c r="J873" s="306">
        <f t="shared" ca="1" si="391"/>
        <v>150.09587023194715</v>
      </c>
      <c r="K873" s="307">
        <f t="shared" ca="1" si="392"/>
        <v>-5.579748732979267</v>
      </c>
      <c r="L873" s="304">
        <f t="shared" ca="1" si="377"/>
        <v>150.19954679228795</v>
      </c>
      <c r="M873" s="306">
        <f t="shared" ca="1" si="393"/>
        <v>-1.499634796979012</v>
      </c>
      <c r="N873" s="304">
        <f t="shared" ca="1" si="394"/>
        <v>-85.922744677855448</v>
      </c>
      <c r="P873" s="310">
        <f t="shared" ca="1" si="395"/>
        <v>23</v>
      </c>
      <c r="Q873" s="304">
        <f t="shared" ca="1" si="396"/>
        <v>0</v>
      </c>
      <c r="R873" s="306">
        <f t="shared" ca="1" si="397"/>
        <v>0</v>
      </c>
      <c r="S873" s="307">
        <f t="shared" ca="1" si="398"/>
        <v>0.4270000000000001</v>
      </c>
      <c r="T873" s="304">
        <f t="shared" ca="1" si="378"/>
        <v>4.1888700000000014</v>
      </c>
      <c r="U873" s="311">
        <f t="shared" ca="1" si="379"/>
        <v>0</v>
      </c>
      <c r="V873" s="306">
        <f t="shared" ca="1" si="380"/>
        <v>1.225683709966281</v>
      </c>
      <c r="W873" s="304">
        <f t="shared" ca="1" si="381"/>
        <v>3.5547343946560095</v>
      </c>
      <c r="Y873" s="314" t="str">
        <f t="shared" ca="1" si="399"/>
        <v/>
      </c>
      <c r="Z873" s="315" t="str">
        <f t="shared" ca="1" si="400"/>
        <v/>
      </c>
      <c r="AA873" s="316" t="str">
        <f t="shared" ca="1" si="401"/>
        <v/>
      </c>
      <c r="AC873" s="310" t="e">
        <f t="shared" ca="1" si="402"/>
        <v>#N/A</v>
      </c>
      <c r="AD873" s="323" t="e">
        <f t="shared" ca="1" si="403"/>
        <v>#N/A</v>
      </c>
      <c r="AE873" s="324" t="e">
        <f t="shared" ca="1" si="382"/>
        <v>#N/A</v>
      </c>
      <c r="AG873" s="306">
        <f t="shared" ca="1" si="404"/>
        <v>1.4603166878874365</v>
      </c>
      <c r="AH873" s="304">
        <f t="shared" ca="1" si="405"/>
        <v>-8.3248541229373991</v>
      </c>
    </row>
    <row r="874" spans="1:34" x14ac:dyDescent="0.3">
      <c r="A874" s="347">
        <f t="shared" ca="1" si="383"/>
        <v>1E-4</v>
      </c>
      <c r="B874" s="304">
        <f t="shared" ca="1" si="384"/>
        <v>16.152899999999839</v>
      </c>
      <c r="D874" s="306">
        <f t="shared" ca="1" si="385"/>
        <v>-0.59191310230593452</v>
      </c>
      <c r="E874" s="307">
        <f t="shared" ca="1" si="386"/>
        <v>-1.5061647074843005</v>
      </c>
      <c r="F874" s="304">
        <f t="shared" ca="1" si="387"/>
        <v>1.6182994922920493</v>
      </c>
      <c r="G874" s="306">
        <f t="shared" ca="1" si="388"/>
        <v>3.7229409046750703</v>
      </c>
      <c r="H874" s="307">
        <f t="shared" ca="1" si="389"/>
        <v>-52.229404320510859</v>
      </c>
      <c r="I874" s="304">
        <f t="shared" ca="1" si="390"/>
        <v>52.361922851009794</v>
      </c>
      <c r="J874" s="306">
        <f t="shared" ca="1" si="391"/>
        <v>150.09587023194715</v>
      </c>
      <c r="K874" s="307">
        <f t="shared" ca="1" si="392"/>
        <v>-5.5849716658804942</v>
      </c>
      <c r="L874" s="304">
        <f t="shared" ca="1" si="377"/>
        <v>150.1997409092113</v>
      </c>
      <c r="M874" s="306">
        <f t="shared" ca="1" si="393"/>
        <v>-1.4996361290644877</v>
      </c>
      <c r="N874" s="304">
        <f t="shared" ca="1" si="394"/>
        <v>-85.922821000731147</v>
      </c>
      <c r="P874" s="310">
        <f t="shared" ca="1" si="395"/>
        <v>23</v>
      </c>
      <c r="Q874" s="304">
        <f t="shared" ca="1" si="396"/>
        <v>0</v>
      </c>
      <c r="R874" s="306">
        <f t="shared" ca="1" si="397"/>
        <v>0</v>
      </c>
      <c r="S874" s="307">
        <f t="shared" ca="1" si="398"/>
        <v>0.4270000000000001</v>
      </c>
      <c r="T874" s="304">
        <f t="shared" ca="1" si="378"/>
        <v>4.1888700000000014</v>
      </c>
      <c r="U874" s="311">
        <f t="shared" ca="1" si="379"/>
        <v>0</v>
      </c>
      <c r="V874" s="306">
        <f t="shared" ca="1" si="380"/>
        <v>1.2256843501328756</v>
      </c>
      <c r="W874" s="304">
        <f t="shared" ca="1" si="381"/>
        <v>3.5547560782231886</v>
      </c>
      <c r="Y874" s="314" t="str">
        <f t="shared" ca="1" si="399"/>
        <v/>
      </c>
      <c r="Z874" s="315" t="str">
        <f t="shared" ca="1" si="400"/>
        <v/>
      </c>
      <c r="AA874" s="316" t="str">
        <f t="shared" ca="1" si="401"/>
        <v/>
      </c>
      <c r="AC874" s="310" t="e">
        <f t="shared" ca="1" si="402"/>
        <v>#N/A</v>
      </c>
      <c r="AD874" s="323" t="e">
        <f t="shared" ca="1" si="403"/>
        <v>#N/A</v>
      </c>
      <c r="AE874" s="324" t="e">
        <f t="shared" ca="1" si="382"/>
        <v>#N/A</v>
      </c>
      <c r="AG874" s="306">
        <f t="shared" ca="1" si="404"/>
        <v>1.4602668344729235</v>
      </c>
      <c r="AH874" s="304">
        <f t="shared" ca="1" si="405"/>
        <v>-8.3249049055175846</v>
      </c>
    </row>
    <row r="875" spans="1:34" x14ac:dyDescent="0.3">
      <c r="A875" s="347">
        <f t="shared" ca="1" si="383"/>
        <v>1E-4</v>
      </c>
      <c r="B875" s="304">
        <f t="shared" ca="1" si="384"/>
        <v>16.152999999999839</v>
      </c>
      <c r="D875" s="306">
        <f t="shared" ca="1" si="385"/>
        <v>-0.59190565143741702</v>
      </c>
      <c r="E875" s="307">
        <f t="shared" ca="1" si="386"/>
        <v>-1.506113266343025</v>
      </c>
      <c r="F875" s="304">
        <f t="shared" ca="1" si="387"/>
        <v>1.6182488903929484</v>
      </c>
      <c r="G875" s="306">
        <f t="shared" ca="1" si="388"/>
        <v>3.7228817141099264</v>
      </c>
      <c r="H875" s="307">
        <f t="shared" ca="1" si="389"/>
        <v>-52.229554931837491</v>
      </c>
      <c r="I875" s="304">
        <f t="shared" ca="1" si="390"/>
        <v>52.362068872754485</v>
      </c>
      <c r="J875" s="306">
        <f t="shared" ca="1" si="391"/>
        <v>150.09587023194715</v>
      </c>
      <c r="K875" s="307">
        <f t="shared" ca="1" si="392"/>
        <v>-5.5901946138431118</v>
      </c>
      <c r="L875" s="304">
        <f t="shared" ca="1" si="377"/>
        <v>150.19993520806244</v>
      </c>
      <c r="M875" s="306">
        <f t="shared" ca="1" si="393"/>
        <v>-1.4996374611213552</v>
      </c>
      <c r="N875" s="304">
        <f t="shared" ca="1" si="394"/>
        <v>-85.922897321967739</v>
      </c>
      <c r="P875" s="310">
        <f t="shared" ca="1" si="395"/>
        <v>23</v>
      </c>
      <c r="Q875" s="304">
        <f t="shared" ca="1" si="396"/>
        <v>0</v>
      </c>
      <c r="R875" s="306">
        <f t="shared" ca="1" si="397"/>
        <v>0</v>
      </c>
      <c r="S875" s="307">
        <f t="shared" ca="1" si="398"/>
        <v>0.4270000000000001</v>
      </c>
      <c r="T875" s="304">
        <f t="shared" ca="1" si="378"/>
        <v>4.1888700000000014</v>
      </c>
      <c r="U875" s="311">
        <f t="shared" ca="1" si="379"/>
        <v>0</v>
      </c>
      <c r="V875" s="306">
        <f t="shared" ca="1" si="380"/>
        <v>1.2256849903016507</v>
      </c>
      <c r="W875" s="304">
        <f t="shared" ca="1" si="381"/>
        <v>3.5547777611958189</v>
      </c>
      <c r="Y875" s="314" t="str">
        <f t="shared" ca="1" si="399"/>
        <v/>
      </c>
      <c r="Z875" s="315" t="str">
        <f t="shared" ca="1" si="400"/>
        <v/>
      </c>
      <c r="AA875" s="316" t="str">
        <f t="shared" ca="1" si="401"/>
        <v/>
      </c>
      <c r="AC875" s="310" t="e">
        <f t="shared" ca="1" si="402"/>
        <v>#N/A</v>
      </c>
      <c r="AD875" s="323" t="e">
        <f t="shared" ca="1" si="403"/>
        <v>#N/A</v>
      </c>
      <c r="AE875" s="324" t="e">
        <f t="shared" ca="1" si="382"/>
        <v>#N/A</v>
      </c>
      <c r="AG875" s="306">
        <f t="shared" ca="1" si="404"/>
        <v>1.4602169824135061</v>
      </c>
      <c r="AH875" s="304">
        <f t="shared" ca="1" si="405"/>
        <v>-8.3249556867053585</v>
      </c>
    </row>
    <row r="876" spans="1:34" x14ac:dyDescent="0.3">
      <c r="A876" s="347">
        <f t="shared" ca="1" si="383"/>
        <v>1E-4</v>
      </c>
      <c r="B876" s="304">
        <f t="shared" ca="1" si="384"/>
        <v>16.153099999999839</v>
      </c>
      <c r="D876" s="306">
        <f t="shared" ca="1" si="385"/>
        <v>-0.59189820057146569</v>
      </c>
      <c r="E876" s="307">
        <f t="shared" ca="1" si="386"/>
        <v>-1.5060618266126582</v>
      </c>
      <c r="F876" s="304">
        <f t="shared" ca="1" si="387"/>
        <v>1.6181982898951524</v>
      </c>
      <c r="G876" s="306">
        <f t="shared" ca="1" si="388"/>
        <v>3.7228225242898692</v>
      </c>
      <c r="H876" s="307">
        <f t="shared" ca="1" si="389"/>
        <v>-52.229705538020156</v>
      </c>
      <c r="I876" s="304">
        <f t="shared" ca="1" si="390"/>
        <v>52.362214889514114</v>
      </c>
      <c r="J876" s="306">
        <f t="shared" ca="1" si="391"/>
        <v>150.09587023194715</v>
      </c>
      <c r="K876" s="307">
        <f t="shared" ca="1" si="392"/>
        <v>-5.5954175768666046</v>
      </c>
      <c r="L876" s="304">
        <f t="shared" ca="1" si="377"/>
        <v>150.20012968884222</v>
      </c>
      <c r="M876" s="306">
        <f t="shared" ca="1" si="393"/>
        <v>-1.4996387931496153</v>
      </c>
      <c r="N876" s="304">
        <f t="shared" ca="1" si="394"/>
        <v>-85.922973641565235</v>
      </c>
      <c r="P876" s="310">
        <f t="shared" ca="1" si="395"/>
        <v>23</v>
      </c>
      <c r="Q876" s="304">
        <f t="shared" ca="1" si="396"/>
        <v>0</v>
      </c>
      <c r="R876" s="306">
        <f t="shared" ca="1" si="397"/>
        <v>0</v>
      </c>
      <c r="S876" s="307">
        <f t="shared" ca="1" si="398"/>
        <v>0.4270000000000001</v>
      </c>
      <c r="T876" s="304">
        <f t="shared" ca="1" si="378"/>
        <v>4.1888700000000014</v>
      </c>
      <c r="U876" s="311">
        <f t="shared" ca="1" si="379"/>
        <v>0</v>
      </c>
      <c r="V876" s="306">
        <f t="shared" ca="1" si="380"/>
        <v>1.2256856304726063</v>
      </c>
      <c r="W876" s="304">
        <f t="shared" ca="1" si="381"/>
        <v>3.5547994435739154</v>
      </c>
      <c r="Y876" s="314" t="str">
        <f t="shared" ca="1" si="399"/>
        <v/>
      </c>
      <c r="Z876" s="315" t="str">
        <f t="shared" ca="1" si="400"/>
        <v/>
      </c>
      <c r="AA876" s="316" t="str">
        <f t="shared" ca="1" si="401"/>
        <v/>
      </c>
      <c r="AC876" s="310" t="e">
        <f t="shared" ca="1" si="402"/>
        <v>#N/A</v>
      </c>
      <c r="AD876" s="323" t="e">
        <f t="shared" ca="1" si="403"/>
        <v>#N/A</v>
      </c>
      <c r="AE876" s="324" t="e">
        <f t="shared" ca="1" si="382"/>
        <v>#N/A</v>
      </c>
      <c r="AG876" s="306">
        <f t="shared" ca="1" si="404"/>
        <v>1.4601671317091593</v>
      </c>
      <c r="AH876" s="304">
        <f t="shared" ca="1" si="405"/>
        <v>-8.3250064665007457</v>
      </c>
    </row>
    <row r="877" spans="1:34" x14ac:dyDescent="0.3">
      <c r="A877" s="347">
        <f t="shared" ca="1" si="383"/>
        <v>1E-4</v>
      </c>
      <c r="B877" s="304">
        <f t="shared" ca="1" si="384"/>
        <v>16.153199999999838</v>
      </c>
      <c r="D877" s="306">
        <f t="shared" ca="1" si="385"/>
        <v>-0.59189074970808575</v>
      </c>
      <c r="E877" s="307">
        <f t="shared" ca="1" si="386"/>
        <v>-1.5060103882931717</v>
      </c>
      <c r="F877" s="304">
        <f t="shared" ca="1" si="387"/>
        <v>1.6181476907986334</v>
      </c>
      <c r="G877" s="306">
        <f t="shared" ca="1" si="388"/>
        <v>3.7227633352148986</v>
      </c>
      <c r="H877" s="307">
        <f t="shared" ca="1" si="389"/>
        <v>-52.229856139058988</v>
      </c>
      <c r="I877" s="304">
        <f t="shared" ca="1" si="390"/>
        <v>52.362360901288802</v>
      </c>
      <c r="J877" s="306">
        <f t="shared" ca="1" si="391"/>
        <v>150.09587023194715</v>
      </c>
      <c r="K877" s="307">
        <f t="shared" ca="1" si="392"/>
        <v>-5.6006405549504583</v>
      </c>
      <c r="L877" s="304">
        <f t="shared" ca="1" si="377"/>
        <v>150.2003243515515</v>
      </c>
      <c r="M877" s="306">
        <f t="shared" ca="1" si="393"/>
        <v>-1.499640125149269</v>
      </c>
      <c r="N877" s="304">
        <f t="shared" ca="1" si="394"/>
        <v>-85.923049959523695</v>
      </c>
      <c r="P877" s="310">
        <f t="shared" ca="1" si="395"/>
        <v>23</v>
      </c>
      <c r="Q877" s="304">
        <f t="shared" ca="1" si="396"/>
        <v>0</v>
      </c>
      <c r="R877" s="306">
        <f t="shared" ca="1" si="397"/>
        <v>0</v>
      </c>
      <c r="S877" s="307">
        <f t="shared" ca="1" si="398"/>
        <v>0.4270000000000001</v>
      </c>
      <c r="T877" s="304">
        <f t="shared" ca="1" si="378"/>
        <v>4.1888700000000014</v>
      </c>
      <c r="U877" s="311">
        <f t="shared" ca="1" si="379"/>
        <v>0</v>
      </c>
      <c r="V877" s="306">
        <f t="shared" ca="1" si="380"/>
        <v>1.2256862706457419</v>
      </c>
      <c r="W877" s="304">
        <f t="shared" ca="1" si="381"/>
        <v>3.5548211253574853</v>
      </c>
      <c r="Y877" s="314" t="str">
        <f t="shared" ca="1" si="399"/>
        <v/>
      </c>
      <c r="Z877" s="315" t="str">
        <f t="shared" ca="1" si="400"/>
        <v/>
      </c>
      <c r="AA877" s="316" t="str">
        <f t="shared" ca="1" si="401"/>
        <v/>
      </c>
      <c r="AC877" s="310" t="e">
        <f t="shared" ca="1" si="402"/>
        <v>#N/A</v>
      </c>
      <c r="AD877" s="323" t="e">
        <f t="shared" ca="1" si="403"/>
        <v>#N/A</v>
      </c>
      <c r="AE877" s="324" t="e">
        <f t="shared" ca="1" si="382"/>
        <v>#N/A</v>
      </c>
      <c r="AG877" s="306">
        <f t="shared" ca="1" si="404"/>
        <v>1.4601172823598461</v>
      </c>
      <c r="AH877" s="304">
        <f t="shared" ca="1" si="405"/>
        <v>-8.3250572449037819</v>
      </c>
    </row>
    <row r="878" spans="1:34" x14ac:dyDescent="0.3">
      <c r="A878" s="347">
        <f t="shared" ca="1" si="383"/>
        <v>1E-4</v>
      </c>
      <c r="B878" s="304">
        <f t="shared" ca="1" si="384"/>
        <v>16.153299999999838</v>
      </c>
      <c r="D878" s="306">
        <f t="shared" ca="1" si="385"/>
        <v>-0.59188329884728086</v>
      </c>
      <c r="E878" s="307">
        <f t="shared" ca="1" si="386"/>
        <v>-1.5059589513845406</v>
      </c>
      <c r="F878" s="304">
        <f t="shared" ca="1" si="387"/>
        <v>1.6180970931033665</v>
      </c>
      <c r="G878" s="306">
        <f t="shared" ca="1" si="388"/>
        <v>3.7227041468850137</v>
      </c>
      <c r="H878" s="307">
        <f t="shared" ca="1" si="389"/>
        <v>-52.230006734954124</v>
      </c>
      <c r="I878" s="304">
        <f t="shared" ca="1" si="390"/>
        <v>52.362506908078686</v>
      </c>
      <c r="J878" s="306">
        <f t="shared" ca="1" si="391"/>
        <v>150.09587023194715</v>
      </c>
      <c r="K878" s="307">
        <f t="shared" ca="1" si="392"/>
        <v>-5.6058635480941588</v>
      </c>
      <c r="L878" s="304">
        <f t="shared" ca="1" si="377"/>
        <v>150.2005191961911</v>
      </c>
      <c r="M878" s="306">
        <f t="shared" ca="1" si="393"/>
        <v>-1.4996414571203172</v>
      </c>
      <c r="N878" s="304">
        <f t="shared" ca="1" si="394"/>
        <v>-85.923126275843188</v>
      </c>
      <c r="P878" s="310">
        <f t="shared" ca="1" si="395"/>
        <v>23</v>
      </c>
      <c r="Q878" s="304">
        <f t="shared" ca="1" si="396"/>
        <v>0</v>
      </c>
      <c r="R878" s="306">
        <f t="shared" ca="1" si="397"/>
        <v>0</v>
      </c>
      <c r="S878" s="307">
        <f t="shared" ca="1" si="398"/>
        <v>0.4270000000000001</v>
      </c>
      <c r="T878" s="304">
        <f t="shared" ca="1" si="378"/>
        <v>4.1888700000000014</v>
      </c>
      <c r="U878" s="311">
        <f t="shared" ca="1" si="379"/>
        <v>0</v>
      </c>
      <c r="V878" s="306">
        <f t="shared" ca="1" si="380"/>
        <v>1.2256869108210584</v>
      </c>
      <c r="W878" s="304">
        <f t="shared" ca="1" si="381"/>
        <v>3.5548428065465454</v>
      </c>
      <c r="Y878" s="314" t="str">
        <f t="shared" ca="1" si="399"/>
        <v/>
      </c>
      <c r="Z878" s="315" t="str">
        <f t="shared" ca="1" si="400"/>
        <v/>
      </c>
      <c r="AA878" s="316" t="str">
        <f t="shared" ca="1" si="401"/>
        <v/>
      </c>
      <c r="AC878" s="310" t="e">
        <f t="shared" ca="1" si="402"/>
        <v>#N/A</v>
      </c>
      <c r="AD878" s="323" t="e">
        <f t="shared" ca="1" si="403"/>
        <v>#N/A</v>
      </c>
      <c r="AE878" s="324" t="e">
        <f t="shared" ca="1" si="382"/>
        <v>#N/A</v>
      </c>
      <c r="AG878" s="306">
        <f t="shared" ca="1" si="404"/>
        <v>1.4600674343655555</v>
      </c>
      <c r="AH878" s="304">
        <f t="shared" ca="1" si="405"/>
        <v>-8.3251080219144828</v>
      </c>
    </row>
    <row r="879" spans="1:34" x14ac:dyDescent="0.3">
      <c r="A879" s="347">
        <f t="shared" ca="1" si="383"/>
        <v>1E-4</v>
      </c>
      <c r="B879" s="304">
        <f t="shared" ca="1" si="384"/>
        <v>16.153399999999838</v>
      </c>
      <c r="D879" s="306">
        <f t="shared" ca="1" si="385"/>
        <v>-0.59187584798905668</v>
      </c>
      <c r="E879" s="307">
        <f t="shared" ca="1" si="386"/>
        <v>-1.5059075158867294</v>
      </c>
      <c r="F879" s="304">
        <f t="shared" ca="1" si="387"/>
        <v>1.6180464968093176</v>
      </c>
      <c r="G879" s="306">
        <f t="shared" ca="1" si="388"/>
        <v>3.7226449593002147</v>
      </c>
      <c r="H879" s="307">
        <f t="shared" ca="1" si="389"/>
        <v>-52.230157325705711</v>
      </c>
      <c r="I879" s="304">
        <f t="shared" ca="1" si="390"/>
        <v>52.362652909883906</v>
      </c>
      <c r="J879" s="306">
        <f t="shared" ca="1" si="391"/>
        <v>150.09587023194715</v>
      </c>
      <c r="K879" s="307">
        <f t="shared" ca="1" si="392"/>
        <v>-5.6110865562971917</v>
      </c>
      <c r="L879" s="304">
        <f t="shared" ca="1" si="377"/>
        <v>150.20071422276186</v>
      </c>
      <c r="M879" s="306">
        <f t="shared" ca="1" si="393"/>
        <v>-1.4996427890627602</v>
      </c>
      <c r="N879" s="304">
        <f t="shared" ca="1" si="394"/>
        <v>-85.923202590523729</v>
      </c>
      <c r="P879" s="310">
        <f t="shared" ca="1" si="395"/>
        <v>23</v>
      </c>
      <c r="Q879" s="304">
        <f t="shared" ca="1" si="396"/>
        <v>0</v>
      </c>
      <c r="R879" s="306">
        <f t="shared" ca="1" si="397"/>
        <v>0</v>
      </c>
      <c r="S879" s="307">
        <f t="shared" ca="1" si="398"/>
        <v>0.4270000000000001</v>
      </c>
      <c r="T879" s="304">
        <f t="shared" ca="1" si="378"/>
        <v>4.1888700000000014</v>
      </c>
      <c r="U879" s="311">
        <f t="shared" ca="1" si="379"/>
        <v>0</v>
      </c>
      <c r="V879" s="306">
        <f t="shared" ca="1" si="380"/>
        <v>1.225687550998555</v>
      </c>
      <c r="W879" s="304">
        <f t="shared" ca="1" si="381"/>
        <v>3.5548644871411033</v>
      </c>
      <c r="Y879" s="314" t="str">
        <f t="shared" ca="1" si="399"/>
        <v/>
      </c>
      <c r="Z879" s="315" t="str">
        <f t="shared" ca="1" si="400"/>
        <v/>
      </c>
      <c r="AA879" s="316" t="str">
        <f t="shared" ca="1" si="401"/>
        <v/>
      </c>
      <c r="AC879" s="310" t="e">
        <f t="shared" ca="1" si="402"/>
        <v>#N/A</v>
      </c>
      <c r="AD879" s="323" t="e">
        <f t="shared" ca="1" si="403"/>
        <v>#N/A</v>
      </c>
      <c r="AE879" s="324" t="e">
        <f t="shared" ca="1" si="382"/>
        <v>#N/A</v>
      </c>
      <c r="AG879" s="306">
        <f t="shared" ca="1" si="404"/>
        <v>1.4600175877262451</v>
      </c>
      <c r="AH879" s="304">
        <f t="shared" ca="1" si="405"/>
        <v>-8.3251587975328913</v>
      </c>
    </row>
    <row r="880" spans="1:34" x14ac:dyDescent="0.3">
      <c r="A880" s="347">
        <f t="shared" ca="1" si="383"/>
        <v>1E-4</v>
      </c>
      <c r="B880" s="304">
        <f t="shared" ca="1" si="384"/>
        <v>16.153499999999838</v>
      </c>
      <c r="D880" s="306">
        <f t="shared" ca="1" si="385"/>
        <v>-0.59186839713342032</v>
      </c>
      <c r="E880" s="307">
        <f t="shared" ca="1" si="386"/>
        <v>-1.5058560817997169</v>
      </c>
      <c r="F880" s="304">
        <f t="shared" ca="1" si="387"/>
        <v>1.6179959019164665</v>
      </c>
      <c r="G880" s="306">
        <f t="shared" ca="1" si="388"/>
        <v>3.7225857724605014</v>
      </c>
      <c r="H880" s="307">
        <f t="shared" ca="1" si="389"/>
        <v>-52.230307911313893</v>
      </c>
      <c r="I880" s="304">
        <f t="shared" ca="1" si="390"/>
        <v>52.36279890670459</v>
      </c>
      <c r="J880" s="306">
        <f t="shared" ca="1" si="391"/>
        <v>150.09587023194715</v>
      </c>
      <c r="K880" s="307">
        <f t="shared" ca="1" si="392"/>
        <v>-5.6163095795590428</v>
      </c>
      <c r="L880" s="304">
        <f t="shared" ca="1" si="377"/>
        <v>150.20090943126465</v>
      </c>
      <c r="M880" s="306">
        <f t="shared" ca="1" si="393"/>
        <v>-1.4996441209765992</v>
      </c>
      <c r="N880" s="304">
        <f t="shared" ca="1" si="394"/>
        <v>-85.923278903565375</v>
      </c>
      <c r="P880" s="310">
        <f t="shared" ca="1" si="395"/>
        <v>23</v>
      </c>
      <c r="Q880" s="304">
        <f t="shared" ca="1" si="396"/>
        <v>0</v>
      </c>
      <c r="R880" s="306">
        <f t="shared" ca="1" si="397"/>
        <v>0</v>
      </c>
      <c r="S880" s="307">
        <f t="shared" ca="1" si="398"/>
        <v>0.4270000000000001</v>
      </c>
      <c r="T880" s="304">
        <f t="shared" ca="1" si="378"/>
        <v>4.1888700000000014</v>
      </c>
      <c r="U880" s="311">
        <f t="shared" ca="1" si="379"/>
        <v>0</v>
      </c>
      <c r="V880" s="306">
        <f t="shared" ca="1" si="380"/>
        <v>1.2256881911782316</v>
      </c>
      <c r="W880" s="304">
        <f t="shared" ca="1" si="381"/>
        <v>3.5548861671411731</v>
      </c>
      <c r="Y880" s="314" t="str">
        <f t="shared" ca="1" si="399"/>
        <v/>
      </c>
      <c r="Z880" s="315" t="str">
        <f t="shared" ca="1" si="400"/>
        <v/>
      </c>
      <c r="AA880" s="316" t="str">
        <f t="shared" ca="1" si="401"/>
        <v/>
      </c>
      <c r="AC880" s="310" t="e">
        <f t="shared" ca="1" si="402"/>
        <v>#N/A</v>
      </c>
      <c r="AD880" s="323" t="e">
        <f t="shared" ca="1" si="403"/>
        <v>#N/A</v>
      </c>
      <c r="AE880" s="324" t="e">
        <f t="shared" ca="1" si="382"/>
        <v>#N/A</v>
      </c>
      <c r="AG880" s="306">
        <f t="shared" ca="1" si="404"/>
        <v>1.459967742441906</v>
      </c>
      <c r="AH880" s="304">
        <f t="shared" ca="1" si="405"/>
        <v>-8.3252095717590215</v>
      </c>
    </row>
    <row r="881" spans="1:34" x14ac:dyDescent="0.3">
      <c r="A881" s="347">
        <f t="shared" ca="1" si="383"/>
        <v>1E-4</v>
      </c>
      <c r="B881" s="304">
        <f t="shared" ca="1" si="384"/>
        <v>16.153599999999837</v>
      </c>
      <c r="D881" s="306">
        <f t="shared" ca="1" si="385"/>
        <v>-0.59186094628037522</v>
      </c>
      <c r="E881" s="307">
        <f t="shared" ca="1" si="386"/>
        <v>-1.5058046491234727</v>
      </c>
      <c r="F881" s="304">
        <f t="shared" ca="1" si="387"/>
        <v>1.617945308424783</v>
      </c>
      <c r="G881" s="306">
        <f t="shared" ca="1" si="388"/>
        <v>3.7225265863658734</v>
      </c>
      <c r="H881" s="307">
        <f t="shared" ca="1" si="389"/>
        <v>-52.230458491778805</v>
      </c>
      <c r="I881" s="304">
        <f t="shared" ca="1" si="390"/>
        <v>52.362944898540889</v>
      </c>
      <c r="J881" s="306">
        <f t="shared" ca="1" si="391"/>
        <v>150.09587023194715</v>
      </c>
      <c r="K881" s="307">
        <f t="shared" ca="1" si="392"/>
        <v>-5.6215326178791978</v>
      </c>
      <c r="L881" s="304">
        <f t="shared" ca="1" si="377"/>
        <v>150.20110482170028</v>
      </c>
      <c r="M881" s="306">
        <f t="shared" ca="1" si="393"/>
        <v>-1.499645452861835</v>
      </c>
      <c r="N881" s="304">
        <f t="shared" ca="1" si="394"/>
        <v>-85.923355214968197</v>
      </c>
      <c r="P881" s="310">
        <f t="shared" ca="1" si="395"/>
        <v>23</v>
      </c>
      <c r="Q881" s="304">
        <f t="shared" ca="1" si="396"/>
        <v>0</v>
      </c>
      <c r="R881" s="306">
        <f t="shared" ca="1" si="397"/>
        <v>0</v>
      </c>
      <c r="S881" s="307">
        <f t="shared" ca="1" si="398"/>
        <v>0.4270000000000001</v>
      </c>
      <c r="T881" s="304">
        <f t="shared" ca="1" si="378"/>
        <v>4.1888700000000014</v>
      </c>
      <c r="U881" s="311">
        <f t="shared" ca="1" si="379"/>
        <v>0</v>
      </c>
      <c r="V881" s="306">
        <f t="shared" ca="1" si="380"/>
        <v>1.2256888313600882</v>
      </c>
      <c r="W881" s="304">
        <f t="shared" ca="1" si="381"/>
        <v>3.5549078465467643</v>
      </c>
      <c r="Y881" s="314" t="str">
        <f t="shared" ca="1" si="399"/>
        <v/>
      </c>
      <c r="Z881" s="315" t="str">
        <f t="shared" ca="1" si="400"/>
        <v/>
      </c>
      <c r="AA881" s="316" t="str">
        <f t="shared" ca="1" si="401"/>
        <v/>
      </c>
      <c r="AC881" s="310" t="e">
        <f t="shared" ca="1" si="402"/>
        <v>#N/A</v>
      </c>
      <c r="AD881" s="323" t="e">
        <f t="shared" ca="1" si="403"/>
        <v>#N/A</v>
      </c>
      <c r="AE881" s="324" t="e">
        <f t="shared" ca="1" si="382"/>
        <v>#N/A</v>
      </c>
      <c r="AG881" s="306">
        <f t="shared" ca="1" si="404"/>
        <v>1.4599178985124972</v>
      </c>
      <c r="AH881" s="304">
        <f t="shared" ca="1" si="405"/>
        <v>-8.325260344592909</v>
      </c>
    </row>
    <row r="882" spans="1:34" x14ac:dyDescent="0.3">
      <c r="A882" s="347">
        <f t="shared" ca="1" si="383"/>
        <v>1E-4</v>
      </c>
      <c r="B882" s="304">
        <f t="shared" ca="1" si="384"/>
        <v>16.153699999999837</v>
      </c>
      <c r="D882" s="306">
        <f t="shared" ca="1" si="385"/>
        <v>-0.59185349542992549</v>
      </c>
      <c r="E882" s="307">
        <f t="shared" ca="1" si="386"/>
        <v>-1.505753217857972</v>
      </c>
      <c r="F882" s="304">
        <f t="shared" ca="1" si="387"/>
        <v>1.6178947163342423</v>
      </c>
      <c r="G882" s="306">
        <f t="shared" ca="1" si="388"/>
        <v>3.7224674010163303</v>
      </c>
      <c r="H882" s="307">
        <f t="shared" ca="1" si="389"/>
        <v>-52.230609067100588</v>
      </c>
      <c r="I882" s="304">
        <f t="shared" ca="1" si="390"/>
        <v>52.363090885392921</v>
      </c>
      <c r="J882" s="306">
        <f t="shared" ca="1" si="391"/>
        <v>150.09587023194715</v>
      </c>
      <c r="K882" s="307">
        <f t="shared" ca="1" si="392"/>
        <v>-5.6267556712571416</v>
      </c>
      <c r="L882" s="304">
        <f t="shared" ca="1" si="377"/>
        <v>150.20130039406962</v>
      </c>
      <c r="M882" s="306">
        <f t="shared" ca="1" si="393"/>
        <v>-1.4996467847184682</v>
      </c>
      <c r="N882" s="304">
        <f t="shared" ca="1" si="394"/>
        <v>-85.923431524732194</v>
      </c>
      <c r="P882" s="310">
        <f t="shared" ca="1" si="395"/>
        <v>23</v>
      </c>
      <c r="Q882" s="304">
        <f t="shared" ca="1" si="396"/>
        <v>0</v>
      </c>
      <c r="R882" s="306">
        <f t="shared" ca="1" si="397"/>
        <v>0</v>
      </c>
      <c r="S882" s="307">
        <f t="shared" ca="1" si="398"/>
        <v>0.4270000000000001</v>
      </c>
      <c r="T882" s="304">
        <f t="shared" ca="1" si="378"/>
        <v>4.1888700000000014</v>
      </c>
      <c r="U882" s="311">
        <f t="shared" ca="1" si="379"/>
        <v>0</v>
      </c>
      <c r="V882" s="306">
        <f t="shared" ca="1" si="380"/>
        <v>1.2256894715441249</v>
      </c>
      <c r="W882" s="304">
        <f t="shared" ca="1" si="381"/>
        <v>3.554929525357891</v>
      </c>
      <c r="Y882" s="314" t="str">
        <f t="shared" ca="1" si="399"/>
        <v/>
      </c>
      <c r="Z882" s="315" t="str">
        <f t="shared" ca="1" si="400"/>
        <v/>
      </c>
      <c r="AA882" s="316" t="str">
        <f t="shared" ca="1" si="401"/>
        <v/>
      </c>
      <c r="AC882" s="310" t="e">
        <f t="shared" ca="1" si="402"/>
        <v>#N/A</v>
      </c>
      <c r="AD882" s="323" t="e">
        <f t="shared" ca="1" si="403"/>
        <v>#N/A</v>
      </c>
      <c r="AE882" s="324" t="e">
        <f t="shared" ca="1" si="382"/>
        <v>#N/A</v>
      </c>
      <c r="AG882" s="306">
        <f t="shared" ca="1" si="404"/>
        <v>1.4598680559380046</v>
      </c>
      <c r="AH882" s="304">
        <f t="shared" ca="1" si="405"/>
        <v>-8.325311116034575</v>
      </c>
    </row>
    <row r="883" spans="1:34" x14ac:dyDescent="0.3">
      <c r="A883" s="347">
        <f t="shared" ca="1" si="383"/>
        <v>1E-4</v>
      </c>
      <c r="B883" s="304">
        <f t="shared" ca="1" si="384"/>
        <v>16.153799999999837</v>
      </c>
      <c r="D883" s="306">
        <f t="shared" ca="1" si="385"/>
        <v>-0.59184604458207979</v>
      </c>
      <c r="E883" s="307">
        <f t="shared" ca="1" si="386"/>
        <v>-1.5057017880031829</v>
      </c>
      <c r="F883" s="304">
        <f t="shared" ca="1" si="387"/>
        <v>1.6178441256448146</v>
      </c>
      <c r="G883" s="306">
        <f t="shared" ca="1" si="388"/>
        <v>3.7224082164118721</v>
      </c>
      <c r="H883" s="307">
        <f t="shared" ca="1" si="389"/>
        <v>-52.230759637279391</v>
      </c>
      <c r="I883" s="304">
        <f t="shared" ca="1" si="390"/>
        <v>52.363236867260838</v>
      </c>
      <c r="J883" s="306">
        <f t="shared" ca="1" si="391"/>
        <v>150.09587023194715</v>
      </c>
      <c r="K883" s="307">
        <f t="shared" ca="1" si="392"/>
        <v>-5.6319787396923608</v>
      </c>
      <c r="L883" s="304">
        <f t="shared" ca="1" si="377"/>
        <v>150.20149614837351</v>
      </c>
      <c r="M883" s="306">
        <f t="shared" ca="1" si="393"/>
        <v>-1.4996481165465001</v>
      </c>
      <c r="N883" s="304">
        <f t="shared" ca="1" si="394"/>
        <v>-85.923507832857453</v>
      </c>
      <c r="P883" s="310">
        <f t="shared" ca="1" si="395"/>
        <v>23</v>
      </c>
      <c r="Q883" s="304">
        <f t="shared" ca="1" si="396"/>
        <v>0</v>
      </c>
      <c r="R883" s="306">
        <f t="shared" ca="1" si="397"/>
        <v>0</v>
      </c>
      <c r="S883" s="307">
        <f t="shared" ca="1" si="398"/>
        <v>0.4270000000000001</v>
      </c>
      <c r="T883" s="304">
        <f t="shared" ca="1" si="378"/>
        <v>4.1888700000000014</v>
      </c>
      <c r="U883" s="311">
        <f t="shared" ca="1" si="379"/>
        <v>0</v>
      </c>
      <c r="V883" s="306">
        <f t="shared" ca="1" si="380"/>
        <v>1.225690111730342</v>
      </c>
      <c r="W883" s="304">
        <f t="shared" ca="1" si="381"/>
        <v>3.5549512035745652</v>
      </c>
      <c r="Y883" s="314" t="str">
        <f t="shared" ca="1" si="399"/>
        <v/>
      </c>
      <c r="Z883" s="315" t="str">
        <f t="shared" ca="1" si="400"/>
        <v/>
      </c>
      <c r="AA883" s="316" t="str">
        <f t="shared" ca="1" si="401"/>
        <v/>
      </c>
      <c r="AC883" s="310" t="e">
        <f t="shared" ca="1" si="402"/>
        <v>#N/A</v>
      </c>
      <c r="AD883" s="323" t="e">
        <f t="shared" ca="1" si="403"/>
        <v>#N/A</v>
      </c>
      <c r="AE883" s="324" t="e">
        <f t="shared" ca="1" si="382"/>
        <v>#N/A</v>
      </c>
      <c r="AG883" s="306">
        <f t="shared" ca="1" si="404"/>
        <v>1.4598182147183945</v>
      </c>
      <c r="AH883" s="304">
        <f t="shared" ca="1" si="405"/>
        <v>-8.3253618860840515</v>
      </c>
    </row>
    <row r="884" spans="1:34" x14ac:dyDescent="0.3">
      <c r="A884" s="347">
        <f t="shared" ca="1" si="383"/>
        <v>1E-4</v>
      </c>
      <c r="B884" s="304">
        <f t="shared" ca="1" si="384"/>
        <v>16.153899999999837</v>
      </c>
      <c r="D884" s="306">
        <f t="shared" ca="1" si="385"/>
        <v>-0.59183859373683878</v>
      </c>
      <c r="E884" s="307">
        <f t="shared" ca="1" si="386"/>
        <v>-1.5056503595590751</v>
      </c>
      <c r="F884" s="304">
        <f t="shared" ca="1" si="387"/>
        <v>1.6177935363564695</v>
      </c>
      <c r="G884" s="306">
        <f t="shared" ca="1" si="388"/>
        <v>3.7223490325524984</v>
      </c>
      <c r="H884" s="307">
        <f t="shared" ca="1" si="389"/>
        <v>-52.23091020231535</v>
      </c>
      <c r="I884" s="304">
        <f t="shared" ca="1" si="390"/>
        <v>52.363382844144766</v>
      </c>
      <c r="J884" s="306">
        <f t="shared" ca="1" si="391"/>
        <v>150.09587023194715</v>
      </c>
      <c r="K884" s="307">
        <f t="shared" ca="1" si="392"/>
        <v>-5.6372018231843404</v>
      </c>
      <c r="L884" s="304">
        <f t="shared" ca="1" si="377"/>
        <v>150.20169208461277</v>
      </c>
      <c r="M884" s="306">
        <f t="shared" ca="1" si="393"/>
        <v>-1.4996494483459311</v>
      </c>
      <c r="N884" s="304">
        <f t="shared" ca="1" si="394"/>
        <v>-85.923584139344001</v>
      </c>
      <c r="P884" s="310">
        <f t="shared" ca="1" si="395"/>
        <v>23</v>
      </c>
      <c r="Q884" s="304">
        <f t="shared" ca="1" si="396"/>
        <v>0</v>
      </c>
      <c r="R884" s="306">
        <f t="shared" ca="1" si="397"/>
        <v>0</v>
      </c>
      <c r="S884" s="307">
        <f t="shared" ca="1" si="398"/>
        <v>0.4270000000000001</v>
      </c>
      <c r="T884" s="304">
        <f t="shared" ca="1" si="378"/>
        <v>4.1888700000000014</v>
      </c>
      <c r="U884" s="311">
        <f t="shared" ca="1" si="379"/>
        <v>0</v>
      </c>
      <c r="V884" s="306">
        <f t="shared" ca="1" si="380"/>
        <v>1.2256907519187392</v>
      </c>
      <c r="W884" s="304">
        <f t="shared" ca="1" si="381"/>
        <v>3.5549728811967984</v>
      </c>
      <c r="Y884" s="314" t="str">
        <f t="shared" ca="1" si="399"/>
        <v/>
      </c>
      <c r="Z884" s="315" t="str">
        <f t="shared" ca="1" si="400"/>
        <v/>
      </c>
      <c r="AA884" s="316" t="str">
        <f t="shared" ca="1" si="401"/>
        <v/>
      </c>
      <c r="AC884" s="310" t="e">
        <f t="shared" ca="1" si="402"/>
        <v>#N/A</v>
      </c>
      <c r="AD884" s="323" t="e">
        <f t="shared" ca="1" si="403"/>
        <v>#N/A</v>
      </c>
      <c r="AE884" s="324" t="e">
        <f t="shared" ca="1" si="382"/>
        <v>#N/A</v>
      </c>
      <c r="AG884" s="306">
        <f t="shared" ca="1" si="404"/>
        <v>1.4597683748536436</v>
      </c>
      <c r="AH884" s="304">
        <f t="shared" ca="1" si="405"/>
        <v>-8.3254126547413687</v>
      </c>
    </row>
    <row r="885" spans="1:34" x14ac:dyDescent="0.3">
      <c r="A885" s="347">
        <f t="shared" ca="1" si="383"/>
        <v>1E-4</v>
      </c>
      <c r="B885" s="304">
        <f t="shared" ca="1" si="384"/>
        <v>16.153999999999836</v>
      </c>
      <c r="D885" s="306">
        <f t="shared" ca="1" si="385"/>
        <v>-0.5918311428942109</v>
      </c>
      <c r="E885" s="307">
        <f t="shared" ca="1" si="386"/>
        <v>-1.5055989325256238</v>
      </c>
      <c r="F885" s="304">
        <f t="shared" ca="1" si="387"/>
        <v>1.6177429484691832</v>
      </c>
      <c r="G885" s="306">
        <f t="shared" ca="1" si="388"/>
        <v>3.7222898494382091</v>
      </c>
      <c r="H885" s="307">
        <f t="shared" ca="1" si="389"/>
        <v>-52.2310607622086</v>
      </c>
      <c r="I885" s="304">
        <f t="shared" ca="1" si="390"/>
        <v>52.363528816044834</v>
      </c>
      <c r="J885" s="306">
        <f t="shared" ca="1" si="391"/>
        <v>150.09587023194715</v>
      </c>
      <c r="K885" s="307">
        <f t="shared" ca="1" si="392"/>
        <v>-5.6424249217325668</v>
      </c>
      <c r="L885" s="304">
        <f t="shared" ca="1" si="377"/>
        <v>150.20188820278827</v>
      </c>
      <c r="M885" s="306">
        <f t="shared" ca="1" si="393"/>
        <v>-1.499650780116762</v>
      </c>
      <c r="N885" s="304">
        <f t="shared" ca="1" si="394"/>
        <v>-85.923660444191896</v>
      </c>
      <c r="P885" s="310">
        <f t="shared" ca="1" si="395"/>
        <v>23</v>
      </c>
      <c r="Q885" s="304">
        <f t="shared" ca="1" si="396"/>
        <v>0</v>
      </c>
      <c r="R885" s="306">
        <f t="shared" ca="1" si="397"/>
        <v>0</v>
      </c>
      <c r="S885" s="307">
        <f t="shared" ca="1" si="398"/>
        <v>0.4270000000000001</v>
      </c>
      <c r="T885" s="304">
        <f t="shared" ca="1" si="378"/>
        <v>4.1888700000000014</v>
      </c>
      <c r="U885" s="311">
        <f t="shared" ca="1" si="379"/>
        <v>0</v>
      </c>
      <c r="V885" s="306">
        <f t="shared" ca="1" si="380"/>
        <v>1.225691392109316</v>
      </c>
      <c r="W885" s="304">
        <f t="shared" ca="1" si="381"/>
        <v>3.5549945582245988</v>
      </c>
      <c r="Y885" s="314" t="str">
        <f t="shared" ca="1" si="399"/>
        <v/>
      </c>
      <c r="Z885" s="315" t="str">
        <f t="shared" ca="1" si="400"/>
        <v/>
      </c>
      <c r="AA885" s="316" t="str">
        <f t="shared" ca="1" si="401"/>
        <v/>
      </c>
      <c r="AC885" s="310" t="e">
        <f t="shared" ca="1" si="402"/>
        <v>#N/A</v>
      </c>
      <c r="AD885" s="323" t="e">
        <f t="shared" ca="1" si="403"/>
        <v>#N/A</v>
      </c>
      <c r="AE885" s="324" t="e">
        <f t="shared" ca="1" si="382"/>
        <v>#N/A</v>
      </c>
      <c r="AG885" s="306">
        <f t="shared" ca="1" si="404"/>
        <v>1.4597185363437237</v>
      </c>
      <c r="AH885" s="304">
        <f t="shared" ca="1" si="405"/>
        <v>-8.3254634220065515</v>
      </c>
    </row>
    <row r="886" spans="1:34" x14ac:dyDescent="0.3">
      <c r="A886" s="347">
        <f t="shared" ca="1" si="383"/>
        <v>1E-4</v>
      </c>
      <c r="B886" s="304">
        <f t="shared" ca="1" si="384"/>
        <v>16.154099999999836</v>
      </c>
      <c r="D886" s="306">
        <f t="shared" ca="1" si="385"/>
        <v>-0.59182369205420005</v>
      </c>
      <c r="E886" s="307">
        <f t="shared" ca="1" si="386"/>
        <v>-1.5055475069028059</v>
      </c>
      <c r="F886" s="304">
        <f t="shared" ca="1" si="387"/>
        <v>1.6176923619829324</v>
      </c>
      <c r="G886" s="306">
        <f t="shared" ca="1" si="388"/>
        <v>3.7222306670690037</v>
      </c>
      <c r="H886" s="307">
        <f t="shared" ca="1" si="389"/>
        <v>-52.231211316959289</v>
      </c>
      <c r="I886" s="304">
        <f t="shared" ca="1" si="390"/>
        <v>52.363674782961183</v>
      </c>
      <c r="J886" s="306">
        <f t="shared" ca="1" si="391"/>
        <v>150.09587023194715</v>
      </c>
      <c r="K886" s="307">
        <f t="shared" ca="1" si="392"/>
        <v>-5.647648035336525</v>
      </c>
      <c r="L886" s="304">
        <f t="shared" ca="1" si="377"/>
        <v>150.20208450290082</v>
      </c>
      <c r="M886" s="306">
        <f t="shared" ca="1" si="393"/>
        <v>-1.4996521118589938</v>
      </c>
      <c r="N886" s="304">
        <f t="shared" ca="1" si="394"/>
        <v>-85.923736747401179</v>
      </c>
      <c r="P886" s="310">
        <f t="shared" ca="1" si="395"/>
        <v>23</v>
      </c>
      <c r="Q886" s="304">
        <f t="shared" ca="1" si="396"/>
        <v>0</v>
      </c>
      <c r="R886" s="306">
        <f t="shared" ca="1" si="397"/>
        <v>0</v>
      </c>
      <c r="S886" s="307">
        <f t="shared" ca="1" si="398"/>
        <v>0.4270000000000001</v>
      </c>
      <c r="T886" s="304">
        <f t="shared" ca="1" si="378"/>
        <v>4.1888700000000014</v>
      </c>
      <c r="U886" s="311">
        <f t="shared" ca="1" si="379"/>
        <v>0</v>
      </c>
      <c r="V886" s="306">
        <f t="shared" ca="1" si="380"/>
        <v>1.2256920323020724</v>
      </c>
      <c r="W886" s="304">
        <f t="shared" ca="1" si="381"/>
        <v>3.5550162346579794</v>
      </c>
      <c r="Y886" s="314" t="str">
        <f t="shared" ca="1" si="399"/>
        <v/>
      </c>
      <c r="Z886" s="315" t="str">
        <f t="shared" ca="1" si="400"/>
        <v/>
      </c>
      <c r="AA886" s="316" t="str">
        <f t="shared" ca="1" si="401"/>
        <v/>
      </c>
      <c r="AC886" s="310" t="e">
        <f t="shared" ca="1" si="402"/>
        <v>#N/A</v>
      </c>
      <c r="AD886" s="323" t="e">
        <f t="shared" ca="1" si="403"/>
        <v>#N/A</v>
      </c>
      <c r="AE886" s="324" t="e">
        <f t="shared" ca="1" si="382"/>
        <v>#N/A</v>
      </c>
      <c r="AG886" s="306">
        <f t="shared" ca="1" si="404"/>
        <v>1.4596686991886152</v>
      </c>
      <c r="AH886" s="304">
        <f t="shared" ca="1" si="405"/>
        <v>-8.3255141878796213</v>
      </c>
    </row>
    <row r="887" spans="1:34" x14ac:dyDescent="0.3">
      <c r="A887" s="347">
        <f t="shared" ca="1" si="383"/>
        <v>1E-4</v>
      </c>
      <c r="B887" s="304">
        <f t="shared" ca="1" si="384"/>
        <v>16.154199999999836</v>
      </c>
      <c r="D887" s="306">
        <f t="shared" ca="1" si="385"/>
        <v>-0.59181624121681065</v>
      </c>
      <c r="E887" s="307">
        <f t="shared" ca="1" si="386"/>
        <v>-1.5054960826905948</v>
      </c>
      <c r="F887" s="304">
        <f t="shared" ca="1" si="387"/>
        <v>1.6176417768976914</v>
      </c>
      <c r="G887" s="306">
        <f t="shared" ca="1" si="388"/>
        <v>3.722171485444882</v>
      </c>
      <c r="H887" s="307">
        <f t="shared" ca="1" si="389"/>
        <v>-52.231361866567561</v>
      </c>
      <c r="I887" s="304">
        <f t="shared" ca="1" si="390"/>
        <v>52.363820744893957</v>
      </c>
      <c r="J887" s="306">
        <f t="shared" ca="1" si="391"/>
        <v>150.09587023194715</v>
      </c>
      <c r="K887" s="307">
        <f t="shared" ca="1" si="392"/>
        <v>-5.6528711639957017</v>
      </c>
      <c r="L887" s="304">
        <f t="shared" ca="1" si="377"/>
        <v>150.20228098495124</v>
      </c>
      <c r="M887" s="306">
        <f t="shared" ca="1" si="393"/>
        <v>-1.4996534435726274</v>
      </c>
      <c r="N887" s="304">
        <f t="shared" ca="1" si="394"/>
        <v>-85.923813048971908</v>
      </c>
      <c r="P887" s="310">
        <f t="shared" ca="1" si="395"/>
        <v>23</v>
      </c>
      <c r="Q887" s="304">
        <f t="shared" ca="1" si="396"/>
        <v>0</v>
      </c>
      <c r="R887" s="306">
        <f t="shared" ca="1" si="397"/>
        <v>0</v>
      </c>
      <c r="S887" s="307">
        <f t="shared" ca="1" si="398"/>
        <v>0.4270000000000001</v>
      </c>
      <c r="T887" s="304">
        <f t="shared" ca="1" si="378"/>
        <v>4.1888700000000014</v>
      </c>
      <c r="U887" s="311">
        <f t="shared" ca="1" si="379"/>
        <v>0</v>
      </c>
      <c r="V887" s="306">
        <f t="shared" ca="1" si="380"/>
        <v>1.2256926724970088</v>
      </c>
      <c r="W887" s="304">
        <f t="shared" ca="1" si="381"/>
        <v>3.5550379104969547</v>
      </c>
      <c r="Y887" s="314" t="str">
        <f t="shared" ca="1" si="399"/>
        <v/>
      </c>
      <c r="Z887" s="315" t="str">
        <f t="shared" ca="1" si="400"/>
        <v/>
      </c>
      <c r="AA887" s="316" t="str">
        <f t="shared" ca="1" si="401"/>
        <v/>
      </c>
      <c r="AC887" s="310" t="e">
        <f t="shared" ca="1" si="402"/>
        <v>#N/A</v>
      </c>
      <c r="AD887" s="323" t="e">
        <f t="shared" ca="1" si="403"/>
        <v>#N/A</v>
      </c>
      <c r="AE887" s="324" t="e">
        <f t="shared" ca="1" si="382"/>
        <v>#N/A</v>
      </c>
      <c r="AG887" s="306">
        <f t="shared" ca="1" si="404"/>
        <v>1.4596188633882967</v>
      </c>
      <c r="AH887" s="304">
        <f t="shared" ca="1" si="405"/>
        <v>-8.3255649523606063</v>
      </c>
    </row>
    <row r="888" spans="1:34" x14ac:dyDescent="0.3">
      <c r="A888" s="347">
        <f t="shared" ca="1" si="383"/>
        <v>1E-4</v>
      </c>
      <c r="B888" s="304">
        <f t="shared" ca="1" si="384"/>
        <v>16.154299999999836</v>
      </c>
      <c r="D888" s="306">
        <f t="shared" ca="1" si="385"/>
        <v>-0.59180879038204814</v>
      </c>
      <c r="E888" s="307">
        <f t="shared" ca="1" si="386"/>
        <v>-1.505444659888953</v>
      </c>
      <c r="F888" s="304">
        <f t="shared" ca="1" si="387"/>
        <v>1.6175911932134239</v>
      </c>
      <c r="G888" s="306">
        <f t="shared" ca="1" si="388"/>
        <v>3.7221123045658437</v>
      </c>
      <c r="H888" s="307">
        <f t="shared" ca="1" si="389"/>
        <v>-52.231512411033549</v>
      </c>
      <c r="I888" s="304">
        <f t="shared" ca="1" si="390"/>
        <v>52.363966701843282</v>
      </c>
      <c r="J888" s="306">
        <f t="shared" ca="1" si="391"/>
        <v>150.09587023194715</v>
      </c>
      <c r="K888" s="307">
        <f t="shared" ca="1" si="392"/>
        <v>-5.6580943077095815</v>
      </c>
      <c r="L888" s="304">
        <f t="shared" ca="1" si="377"/>
        <v>150.20247764894043</v>
      </c>
      <c r="M888" s="306">
        <f t="shared" ca="1" si="393"/>
        <v>-1.4996547752576634</v>
      </c>
      <c r="N888" s="304">
        <f t="shared" ca="1" si="394"/>
        <v>-85.923889348904112</v>
      </c>
      <c r="P888" s="310">
        <f t="shared" ca="1" si="395"/>
        <v>23</v>
      </c>
      <c r="Q888" s="304">
        <f t="shared" ca="1" si="396"/>
        <v>0</v>
      </c>
      <c r="R888" s="306">
        <f t="shared" ca="1" si="397"/>
        <v>0</v>
      </c>
      <c r="S888" s="307">
        <f t="shared" ca="1" si="398"/>
        <v>0.4270000000000001</v>
      </c>
      <c r="T888" s="304">
        <f t="shared" ca="1" si="378"/>
        <v>4.1888700000000014</v>
      </c>
      <c r="U888" s="311">
        <f t="shared" ca="1" si="379"/>
        <v>0</v>
      </c>
      <c r="V888" s="306">
        <f t="shared" ca="1" si="380"/>
        <v>1.225693312694125</v>
      </c>
      <c r="W888" s="304">
        <f t="shared" ca="1" si="381"/>
        <v>3.5550595857415348</v>
      </c>
      <c r="Y888" s="314" t="str">
        <f t="shared" ca="1" si="399"/>
        <v/>
      </c>
      <c r="Z888" s="315" t="str">
        <f t="shared" ca="1" si="400"/>
        <v/>
      </c>
      <c r="AA888" s="316" t="str">
        <f t="shared" ca="1" si="401"/>
        <v/>
      </c>
      <c r="AC888" s="310" t="e">
        <f t="shared" ca="1" si="402"/>
        <v>#N/A</v>
      </c>
      <c r="AD888" s="323" t="e">
        <f t="shared" ca="1" si="403"/>
        <v>#N/A</v>
      </c>
      <c r="AE888" s="324" t="e">
        <f t="shared" ca="1" si="382"/>
        <v>#N/A</v>
      </c>
      <c r="AG888" s="306">
        <f t="shared" ca="1" si="404"/>
        <v>1.4595690289427292</v>
      </c>
      <c r="AH888" s="304">
        <f t="shared" ca="1" si="405"/>
        <v>-8.3256157154495405</v>
      </c>
    </row>
    <row r="889" spans="1:34" x14ac:dyDescent="0.3">
      <c r="A889" s="347">
        <f t="shared" ca="1" si="383"/>
        <v>1E-4</v>
      </c>
      <c r="B889" s="304">
        <f t="shared" ca="1" si="384"/>
        <v>16.154399999999836</v>
      </c>
      <c r="D889" s="306">
        <f t="shared" ca="1" si="385"/>
        <v>-0.59180133954991854</v>
      </c>
      <c r="E889" s="307">
        <f t="shared" ca="1" si="386"/>
        <v>-1.5053932384978577</v>
      </c>
      <c r="F889" s="304">
        <f t="shared" ca="1" si="387"/>
        <v>1.6175406109301076</v>
      </c>
      <c r="G889" s="306">
        <f t="shared" ca="1" si="388"/>
        <v>3.7220531244318886</v>
      </c>
      <c r="H889" s="307">
        <f t="shared" ca="1" si="389"/>
        <v>-52.231662950357396</v>
      </c>
      <c r="I889" s="304">
        <f t="shared" ca="1" si="390"/>
        <v>52.364112653809293</v>
      </c>
      <c r="J889" s="306">
        <f t="shared" ca="1" si="391"/>
        <v>150.09587023194715</v>
      </c>
      <c r="K889" s="307">
        <f t="shared" ca="1" si="392"/>
        <v>-5.6633174664776513</v>
      </c>
      <c r="L889" s="304">
        <f t="shared" ca="1" si="377"/>
        <v>150.20267449486917</v>
      </c>
      <c r="M889" s="306">
        <f t="shared" ca="1" si="393"/>
        <v>-1.4996561069141028</v>
      </c>
      <c r="N889" s="304">
        <f t="shared" ca="1" si="394"/>
        <v>-85.923965647197846</v>
      </c>
      <c r="P889" s="310">
        <f t="shared" ca="1" si="395"/>
        <v>23</v>
      </c>
      <c r="Q889" s="304">
        <f t="shared" ca="1" si="396"/>
        <v>0</v>
      </c>
      <c r="R889" s="306">
        <f t="shared" ca="1" si="397"/>
        <v>0</v>
      </c>
      <c r="S889" s="307">
        <f t="shared" ca="1" si="398"/>
        <v>0.4270000000000001</v>
      </c>
      <c r="T889" s="304">
        <f t="shared" ca="1" si="378"/>
        <v>4.1888700000000014</v>
      </c>
      <c r="U889" s="311">
        <f t="shared" ca="1" si="379"/>
        <v>0</v>
      </c>
      <c r="V889" s="306">
        <f t="shared" ca="1" si="380"/>
        <v>1.2256939528934208</v>
      </c>
      <c r="W889" s="304">
        <f t="shared" ca="1" si="381"/>
        <v>3.5550812603917308</v>
      </c>
      <c r="Y889" s="314" t="str">
        <f t="shared" ca="1" si="399"/>
        <v/>
      </c>
      <c r="Z889" s="315" t="str">
        <f t="shared" ca="1" si="400"/>
        <v/>
      </c>
      <c r="AA889" s="316" t="str">
        <f t="shared" ca="1" si="401"/>
        <v/>
      </c>
      <c r="AC889" s="310" t="e">
        <f t="shared" ca="1" si="402"/>
        <v>#N/A</v>
      </c>
      <c r="AD889" s="323" t="e">
        <f t="shared" ca="1" si="403"/>
        <v>#N/A</v>
      </c>
      <c r="AE889" s="324" t="e">
        <f t="shared" ca="1" si="382"/>
        <v>#N/A</v>
      </c>
      <c r="AG889" s="306">
        <f t="shared" ca="1" si="404"/>
        <v>1.4595191958518932</v>
      </c>
      <c r="AH889" s="304">
        <f t="shared" ca="1" si="405"/>
        <v>-8.3256664771464504</v>
      </c>
    </row>
    <row r="890" spans="1:34" x14ac:dyDescent="0.3">
      <c r="A890" s="347">
        <f t="shared" ca="1" si="383"/>
        <v>1E-4</v>
      </c>
      <c r="B890" s="304">
        <f t="shared" ca="1" si="384"/>
        <v>16.154499999999835</v>
      </c>
      <c r="D890" s="306">
        <f t="shared" ca="1" si="385"/>
        <v>-0.59179388872042604</v>
      </c>
      <c r="E890" s="307">
        <f t="shared" ca="1" si="386"/>
        <v>-1.5053418185172838</v>
      </c>
      <c r="F890" s="304">
        <f t="shared" ca="1" si="387"/>
        <v>1.6174900300477177</v>
      </c>
      <c r="G890" s="306">
        <f t="shared" ca="1" si="388"/>
        <v>3.7219939450430166</v>
      </c>
      <c r="H890" s="307">
        <f t="shared" ca="1" si="389"/>
        <v>-52.231813484539245</v>
      </c>
      <c r="I890" s="304">
        <f t="shared" ca="1" si="390"/>
        <v>52.364258600792127</v>
      </c>
      <c r="J890" s="306">
        <f t="shared" ca="1" si="391"/>
        <v>150.09587023194715</v>
      </c>
      <c r="K890" s="307">
        <f t="shared" ca="1" si="392"/>
        <v>-5.6685406402993959</v>
      </c>
      <c r="L890" s="304">
        <f t="shared" ca="1" si="377"/>
        <v>150.20287152273835</v>
      </c>
      <c r="M890" s="306">
        <f t="shared" ca="1" si="393"/>
        <v>-1.4996574385419463</v>
      </c>
      <c r="N890" s="304">
        <f t="shared" ca="1" si="394"/>
        <v>-85.924041943853155</v>
      </c>
      <c r="P890" s="310">
        <f t="shared" ca="1" si="395"/>
        <v>23</v>
      </c>
      <c r="Q890" s="304">
        <f t="shared" ca="1" si="396"/>
        <v>0</v>
      </c>
      <c r="R890" s="306">
        <f t="shared" ca="1" si="397"/>
        <v>0</v>
      </c>
      <c r="S890" s="307">
        <f t="shared" ca="1" si="398"/>
        <v>0.4270000000000001</v>
      </c>
      <c r="T890" s="304">
        <f t="shared" ca="1" si="378"/>
        <v>4.1888700000000014</v>
      </c>
      <c r="U890" s="311">
        <f t="shared" ca="1" si="379"/>
        <v>0</v>
      </c>
      <c r="V890" s="306">
        <f t="shared" ca="1" si="380"/>
        <v>1.2256945930948959</v>
      </c>
      <c r="W890" s="304">
        <f t="shared" ca="1" si="381"/>
        <v>3.5551029344475538</v>
      </c>
      <c r="Y890" s="314" t="str">
        <f t="shared" ca="1" si="399"/>
        <v/>
      </c>
      <c r="Z890" s="315" t="str">
        <f t="shared" ca="1" si="400"/>
        <v/>
      </c>
      <c r="AA890" s="316" t="str">
        <f t="shared" ca="1" si="401"/>
        <v/>
      </c>
      <c r="AC890" s="310" t="e">
        <f t="shared" ca="1" si="402"/>
        <v>#N/A</v>
      </c>
      <c r="AD890" s="323" t="e">
        <f t="shared" ca="1" si="403"/>
        <v>#N/A</v>
      </c>
      <c r="AE890" s="324" t="e">
        <f t="shared" ca="1" si="382"/>
        <v>#N/A</v>
      </c>
      <c r="AG890" s="306">
        <f t="shared" ca="1" si="404"/>
        <v>1.4594693641157637</v>
      </c>
      <c r="AH890" s="304">
        <f t="shared" ca="1" si="405"/>
        <v>-8.3257172374513573</v>
      </c>
    </row>
    <row r="891" spans="1:34" x14ac:dyDescent="0.3">
      <c r="A891" s="347">
        <f t="shared" ca="1" si="383"/>
        <v>1E-4</v>
      </c>
      <c r="B891" s="304">
        <f t="shared" ca="1" si="384"/>
        <v>16.154599999999835</v>
      </c>
      <c r="D891" s="306">
        <f t="shared" ca="1" si="385"/>
        <v>-0.59178643789357543</v>
      </c>
      <c r="E891" s="307">
        <f t="shared" ca="1" si="386"/>
        <v>-1.5052903999472012</v>
      </c>
      <c r="F891" s="304">
        <f t="shared" ca="1" si="387"/>
        <v>1.6174394505662248</v>
      </c>
      <c r="G891" s="306">
        <f t="shared" ca="1" si="388"/>
        <v>3.7219347663992273</v>
      </c>
      <c r="H891" s="307">
        <f t="shared" ca="1" si="389"/>
        <v>-52.231964013579237</v>
      </c>
      <c r="I891" s="304">
        <f t="shared" ca="1" si="390"/>
        <v>52.364404542791931</v>
      </c>
      <c r="J891" s="306">
        <f t="shared" ca="1" si="391"/>
        <v>150.09587023194715</v>
      </c>
      <c r="K891" s="307">
        <f t="shared" ca="1" si="392"/>
        <v>-5.6737638291743018</v>
      </c>
      <c r="L891" s="304">
        <f t="shared" ca="1" si="377"/>
        <v>150.20306873254876</v>
      </c>
      <c r="M891" s="306">
        <f t="shared" ca="1" si="393"/>
        <v>-1.4996587701411945</v>
      </c>
      <c r="N891" s="304">
        <f t="shared" ca="1" si="394"/>
        <v>-85.924118238870079</v>
      </c>
      <c r="P891" s="310">
        <f t="shared" ca="1" si="395"/>
        <v>23</v>
      </c>
      <c r="Q891" s="304">
        <f t="shared" ca="1" si="396"/>
        <v>0</v>
      </c>
      <c r="R891" s="306">
        <f t="shared" ca="1" si="397"/>
        <v>0</v>
      </c>
      <c r="S891" s="307">
        <f t="shared" ca="1" si="398"/>
        <v>0.4270000000000001</v>
      </c>
      <c r="T891" s="304">
        <f t="shared" ca="1" si="378"/>
        <v>4.1888700000000014</v>
      </c>
      <c r="U891" s="311">
        <f t="shared" ca="1" si="379"/>
        <v>0</v>
      </c>
      <c r="V891" s="306">
        <f t="shared" ca="1" si="380"/>
        <v>1.2256952332985511</v>
      </c>
      <c r="W891" s="304">
        <f t="shared" ca="1" si="381"/>
        <v>3.5551246079090197</v>
      </c>
      <c r="Y891" s="314" t="str">
        <f t="shared" ca="1" si="399"/>
        <v/>
      </c>
      <c r="Z891" s="315" t="str">
        <f t="shared" ca="1" si="400"/>
        <v/>
      </c>
      <c r="AA891" s="316" t="str">
        <f t="shared" ca="1" si="401"/>
        <v/>
      </c>
      <c r="AC891" s="310" t="e">
        <f t="shared" ca="1" si="402"/>
        <v>#N/A</v>
      </c>
      <c r="AD891" s="323" t="e">
        <f t="shared" ca="1" si="403"/>
        <v>#N/A</v>
      </c>
      <c r="AE891" s="324" t="e">
        <f t="shared" ca="1" si="382"/>
        <v>#N/A</v>
      </c>
      <c r="AG891" s="306">
        <f t="shared" ca="1" si="404"/>
        <v>1.4594195337343177</v>
      </c>
      <c r="AH891" s="304">
        <f t="shared" ca="1" si="405"/>
        <v>-8.3257679963642932</v>
      </c>
    </row>
    <row r="892" spans="1:34" x14ac:dyDescent="0.3">
      <c r="A892" s="347">
        <f t="shared" ca="1" si="383"/>
        <v>1E-4</v>
      </c>
      <c r="B892" s="304">
        <f t="shared" ca="1" si="384"/>
        <v>16.154699999999835</v>
      </c>
      <c r="D892" s="306">
        <f t="shared" ca="1" si="385"/>
        <v>-0.59177898706937526</v>
      </c>
      <c r="E892" s="307">
        <f t="shared" ca="1" si="386"/>
        <v>-1.5052389827875761</v>
      </c>
      <c r="F892" s="304">
        <f t="shared" ca="1" si="387"/>
        <v>1.6173888724855976</v>
      </c>
      <c r="G892" s="306">
        <f t="shared" ca="1" si="388"/>
        <v>3.7218755885005201</v>
      </c>
      <c r="H892" s="307">
        <f t="shared" ca="1" si="389"/>
        <v>-52.232114537477514</v>
      </c>
      <c r="I892" s="304">
        <f t="shared" ca="1" si="390"/>
        <v>52.36455047980882</v>
      </c>
      <c r="J892" s="306">
        <f t="shared" ca="1" si="391"/>
        <v>150.09587023194715</v>
      </c>
      <c r="K892" s="307">
        <f t="shared" ca="1" si="392"/>
        <v>-5.6789870331018548</v>
      </c>
      <c r="L892" s="304">
        <f t="shared" ca="1" si="377"/>
        <v>150.20326612430122</v>
      </c>
      <c r="M892" s="306">
        <f t="shared" ca="1" si="393"/>
        <v>-1.4996601017118487</v>
      </c>
      <c r="N892" s="304">
        <f t="shared" ca="1" si="394"/>
        <v>-85.924194532248691</v>
      </c>
      <c r="P892" s="310">
        <f t="shared" ca="1" si="395"/>
        <v>23</v>
      </c>
      <c r="Q892" s="304">
        <f t="shared" ca="1" si="396"/>
        <v>0</v>
      </c>
      <c r="R892" s="306">
        <f t="shared" ca="1" si="397"/>
        <v>0</v>
      </c>
      <c r="S892" s="307">
        <f t="shared" ca="1" si="398"/>
        <v>0.4270000000000001</v>
      </c>
      <c r="T892" s="304">
        <f t="shared" ca="1" si="378"/>
        <v>4.1888700000000014</v>
      </c>
      <c r="U892" s="311">
        <f t="shared" ca="1" si="379"/>
        <v>0</v>
      </c>
      <c r="V892" s="306">
        <f t="shared" ca="1" si="380"/>
        <v>1.2256958735043855</v>
      </c>
      <c r="W892" s="304">
        <f t="shared" ca="1" si="381"/>
        <v>3.5551462807761345</v>
      </c>
      <c r="Y892" s="314" t="str">
        <f t="shared" ca="1" si="399"/>
        <v/>
      </c>
      <c r="Z892" s="315" t="str">
        <f t="shared" ca="1" si="400"/>
        <v/>
      </c>
      <c r="AA892" s="316" t="str">
        <f t="shared" ca="1" si="401"/>
        <v/>
      </c>
      <c r="AC892" s="310" t="e">
        <f t="shared" ca="1" si="402"/>
        <v>#N/A</v>
      </c>
      <c r="AD892" s="323" t="e">
        <f t="shared" ca="1" si="403"/>
        <v>#N/A</v>
      </c>
      <c r="AE892" s="324" t="e">
        <f t="shared" ca="1" si="382"/>
        <v>#N/A</v>
      </c>
      <c r="AG892" s="306">
        <f t="shared" ca="1" si="404"/>
        <v>1.4593697047075178</v>
      </c>
      <c r="AH892" s="304">
        <f t="shared" ca="1" si="405"/>
        <v>-8.3258187538852901</v>
      </c>
    </row>
    <row r="893" spans="1:34" x14ac:dyDescent="0.3">
      <c r="A893" s="347">
        <f t="shared" ca="1" si="383"/>
        <v>1E-4</v>
      </c>
      <c r="B893" s="304">
        <f t="shared" ca="1" si="384"/>
        <v>16.154799999999835</v>
      </c>
      <c r="D893" s="306">
        <f t="shared" ca="1" si="385"/>
        <v>-0.59177153624782564</v>
      </c>
      <c r="E893" s="307">
        <f t="shared" ca="1" si="386"/>
        <v>-1.5051875670383925</v>
      </c>
      <c r="F893" s="304">
        <f t="shared" ca="1" si="387"/>
        <v>1.6173382958058178</v>
      </c>
      <c r="G893" s="306">
        <f t="shared" ca="1" si="388"/>
        <v>3.7218164113468952</v>
      </c>
      <c r="H893" s="307">
        <f t="shared" ca="1" si="389"/>
        <v>-52.232265056234219</v>
      </c>
      <c r="I893" s="304">
        <f t="shared" ca="1" si="390"/>
        <v>52.364696411842942</v>
      </c>
      <c r="J893" s="306">
        <f t="shared" ca="1" si="391"/>
        <v>150.09587023194715</v>
      </c>
      <c r="K893" s="307">
        <f t="shared" ca="1" si="392"/>
        <v>-5.6842102520815407</v>
      </c>
      <c r="L893" s="304">
        <f t="shared" ca="1" si="377"/>
        <v>150.20346369799663</v>
      </c>
      <c r="M893" s="306">
        <f t="shared" ca="1" si="393"/>
        <v>-1.4996614332539095</v>
      </c>
      <c r="N893" s="304">
        <f t="shared" ca="1" si="394"/>
        <v>-85.924270823989019</v>
      </c>
      <c r="P893" s="310">
        <f t="shared" ca="1" si="395"/>
        <v>23</v>
      </c>
      <c r="Q893" s="304">
        <f t="shared" ca="1" si="396"/>
        <v>0</v>
      </c>
      <c r="R893" s="306">
        <f t="shared" ca="1" si="397"/>
        <v>0</v>
      </c>
      <c r="S893" s="307">
        <f t="shared" ca="1" si="398"/>
        <v>0.4270000000000001</v>
      </c>
      <c r="T893" s="304">
        <f t="shared" ca="1" si="378"/>
        <v>4.1888700000000014</v>
      </c>
      <c r="U893" s="311">
        <f t="shared" ca="1" si="379"/>
        <v>0</v>
      </c>
      <c r="V893" s="306">
        <f t="shared" ca="1" si="380"/>
        <v>1.2256965137123994</v>
      </c>
      <c r="W893" s="304">
        <f t="shared" ca="1" si="381"/>
        <v>3.5551679530489131</v>
      </c>
      <c r="Y893" s="314" t="str">
        <f t="shared" ca="1" si="399"/>
        <v/>
      </c>
      <c r="Z893" s="315" t="str">
        <f t="shared" ca="1" si="400"/>
        <v/>
      </c>
      <c r="AA893" s="316" t="str">
        <f t="shared" ca="1" si="401"/>
        <v/>
      </c>
      <c r="AC893" s="310" t="e">
        <f t="shared" ca="1" si="402"/>
        <v>#N/A</v>
      </c>
      <c r="AD893" s="323" t="e">
        <f t="shared" ca="1" si="403"/>
        <v>#N/A</v>
      </c>
      <c r="AE893" s="324" t="e">
        <f t="shared" ca="1" si="382"/>
        <v>#N/A</v>
      </c>
      <c r="AG893" s="306">
        <f t="shared" ca="1" si="404"/>
        <v>1.4593198770353535</v>
      </c>
      <c r="AH893" s="304">
        <f t="shared" ca="1" si="405"/>
        <v>-8.325869510014364</v>
      </c>
    </row>
    <row r="894" spans="1:34" x14ac:dyDescent="0.3">
      <c r="A894" s="347">
        <f t="shared" ca="1" si="383"/>
        <v>1E-4</v>
      </c>
      <c r="B894" s="304">
        <f t="shared" ca="1" si="384"/>
        <v>16.154899999999834</v>
      </c>
      <c r="D894" s="306">
        <f t="shared" ca="1" si="385"/>
        <v>-0.59176408542893344</v>
      </c>
      <c r="E894" s="307">
        <f t="shared" ca="1" si="386"/>
        <v>-1.5051361526996132</v>
      </c>
      <c r="F894" s="304">
        <f t="shared" ca="1" si="387"/>
        <v>1.6172877205268503</v>
      </c>
      <c r="G894" s="306">
        <f t="shared" ca="1" si="388"/>
        <v>3.7217572349383525</v>
      </c>
      <c r="H894" s="307">
        <f t="shared" ca="1" si="389"/>
        <v>-52.232415569849486</v>
      </c>
      <c r="I894" s="304">
        <f t="shared" ca="1" si="390"/>
        <v>52.364842338894434</v>
      </c>
      <c r="J894" s="306">
        <f t="shared" ca="1" si="391"/>
        <v>150.09587023194715</v>
      </c>
      <c r="K894" s="307">
        <f t="shared" ca="1" si="392"/>
        <v>-5.6894334861128453</v>
      </c>
      <c r="L894" s="304">
        <f t="shared" ca="1" si="377"/>
        <v>150.20366145363573</v>
      </c>
      <c r="M894" s="306">
        <f t="shared" ca="1" si="393"/>
        <v>-1.4996627647673777</v>
      </c>
      <c r="N894" s="304">
        <f t="shared" ca="1" si="394"/>
        <v>-85.92434711409112</v>
      </c>
      <c r="P894" s="310">
        <f t="shared" ca="1" si="395"/>
        <v>23</v>
      </c>
      <c r="Q894" s="304">
        <f t="shared" ca="1" si="396"/>
        <v>0</v>
      </c>
      <c r="R894" s="306">
        <f t="shared" ca="1" si="397"/>
        <v>0</v>
      </c>
      <c r="S894" s="307">
        <f t="shared" ca="1" si="398"/>
        <v>0.4270000000000001</v>
      </c>
      <c r="T894" s="304">
        <f t="shared" ca="1" si="378"/>
        <v>4.1888700000000014</v>
      </c>
      <c r="U894" s="311">
        <f t="shared" ca="1" si="379"/>
        <v>0</v>
      </c>
      <c r="V894" s="306">
        <f t="shared" ca="1" si="380"/>
        <v>1.2256971539225925</v>
      </c>
      <c r="W894" s="304">
        <f t="shared" ca="1" si="381"/>
        <v>3.5551896247273658</v>
      </c>
      <c r="Y894" s="314" t="str">
        <f t="shared" ca="1" si="399"/>
        <v/>
      </c>
      <c r="Z894" s="315" t="str">
        <f t="shared" ca="1" si="400"/>
        <v/>
      </c>
      <c r="AA894" s="316" t="str">
        <f t="shared" ca="1" si="401"/>
        <v/>
      </c>
      <c r="AC894" s="310" t="e">
        <f t="shared" ca="1" si="402"/>
        <v>#N/A</v>
      </c>
      <c r="AD894" s="323" t="e">
        <f t="shared" ca="1" si="403"/>
        <v>#N/A</v>
      </c>
      <c r="AE894" s="324" t="e">
        <f t="shared" ca="1" si="382"/>
        <v>#N/A</v>
      </c>
      <c r="AG894" s="306">
        <f t="shared" ca="1" si="404"/>
        <v>1.4592700507177909</v>
      </c>
      <c r="AH894" s="304">
        <f t="shared" ca="1" si="405"/>
        <v>-8.3259202647515504</v>
      </c>
    </row>
    <row r="895" spans="1:34" x14ac:dyDescent="0.3">
      <c r="A895" s="347">
        <f t="shared" ca="1" si="383"/>
        <v>1E-4</v>
      </c>
      <c r="B895" s="304">
        <f t="shared" ca="1" si="384"/>
        <v>16.154999999999834</v>
      </c>
      <c r="D895" s="306">
        <f t="shared" ca="1" si="385"/>
        <v>-0.59175663461270489</v>
      </c>
      <c r="E895" s="307">
        <f t="shared" ca="1" si="386"/>
        <v>-1.505084739771215</v>
      </c>
      <c r="F895" s="304">
        <f t="shared" ca="1" si="387"/>
        <v>1.6172371466486726</v>
      </c>
      <c r="G895" s="306">
        <f t="shared" ca="1" si="388"/>
        <v>3.7216980592748912</v>
      </c>
      <c r="H895" s="307">
        <f t="shared" ca="1" si="389"/>
        <v>-52.232566078323465</v>
      </c>
      <c r="I895" s="304">
        <f t="shared" ca="1" si="390"/>
        <v>52.364988260963429</v>
      </c>
      <c r="J895" s="306">
        <f t="shared" ca="1" si="391"/>
        <v>150.09587023194715</v>
      </c>
      <c r="K895" s="307">
        <f t="shared" ca="1" si="392"/>
        <v>-5.6946567351952542</v>
      </c>
      <c r="L895" s="304">
        <f t="shared" ca="1" si="377"/>
        <v>150.20385939121945</v>
      </c>
      <c r="M895" s="306">
        <f t="shared" ca="1" si="393"/>
        <v>-1.4996640962522541</v>
      </c>
      <c r="N895" s="304">
        <f t="shared" ca="1" si="394"/>
        <v>-85.924423402555021</v>
      </c>
      <c r="P895" s="310">
        <f t="shared" ca="1" si="395"/>
        <v>23</v>
      </c>
      <c r="Q895" s="304">
        <f t="shared" ca="1" si="396"/>
        <v>0</v>
      </c>
      <c r="R895" s="306">
        <f t="shared" ca="1" si="397"/>
        <v>0</v>
      </c>
      <c r="S895" s="307">
        <f t="shared" ca="1" si="398"/>
        <v>0.4270000000000001</v>
      </c>
      <c r="T895" s="304">
        <f t="shared" ca="1" si="378"/>
        <v>4.1888700000000014</v>
      </c>
      <c r="U895" s="311">
        <f t="shared" ca="1" si="379"/>
        <v>0</v>
      </c>
      <c r="V895" s="306">
        <f t="shared" ca="1" si="380"/>
        <v>1.2256977941349649</v>
      </c>
      <c r="W895" s="304">
        <f t="shared" ca="1" si="381"/>
        <v>3.5552112958115067</v>
      </c>
      <c r="Y895" s="314" t="str">
        <f t="shared" ca="1" si="399"/>
        <v/>
      </c>
      <c r="Z895" s="315" t="str">
        <f t="shared" ca="1" si="400"/>
        <v/>
      </c>
      <c r="AA895" s="316" t="str">
        <f t="shared" ca="1" si="401"/>
        <v/>
      </c>
      <c r="AC895" s="310" t="e">
        <f t="shared" ca="1" si="402"/>
        <v>#N/A</v>
      </c>
      <c r="AD895" s="323" t="e">
        <f t="shared" ca="1" si="403"/>
        <v>#N/A</v>
      </c>
      <c r="AE895" s="324" t="e">
        <f t="shared" ca="1" si="382"/>
        <v>#N/A</v>
      </c>
      <c r="AG895" s="306">
        <f t="shared" ca="1" si="404"/>
        <v>1.4592202257548053</v>
      </c>
      <c r="AH895" s="304">
        <f t="shared" ca="1" si="405"/>
        <v>-8.3259710180968742</v>
      </c>
    </row>
    <row r="896" spans="1:34" x14ac:dyDescent="0.3">
      <c r="A896" s="347">
        <f t="shared" ca="1" si="383"/>
        <v>1E-4</v>
      </c>
      <c r="B896" s="304">
        <f t="shared" ca="1" si="384"/>
        <v>16.155099999999834</v>
      </c>
      <c r="D896" s="306">
        <f t="shared" ca="1" si="385"/>
        <v>-0.59174918379914476</v>
      </c>
      <c r="E896" s="307">
        <f t="shared" ca="1" si="386"/>
        <v>-1.5050333282531678</v>
      </c>
      <c r="F896" s="304">
        <f t="shared" ca="1" si="387"/>
        <v>1.6171865741712554</v>
      </c>
      <c r="G896" s="306">
        <f t="shared" ca="1" si="388"/>
        <v>3.7216388843565111</v>
      </c>
      <c r="H896" s="307">
        <f t="shared" ca="1" si="389"/>
        <v>-52.232716581656291</v>
      </c>
      <c r="I896" s="304">
        <f t="shared" ca="1" si="390"/>
        <v>52.365134178050056</v>
      </c>
      <c r="J896" s="306">
        <f t="shared" ca="1" si="391"/>
        <v>150.09587023194715</v>
      </c>
      <c r="K896" s="307">
        <f t="shared" ca="1" si="392"/>
        <v>-5.6998799993282532</v>
      </c>
      <c r="L896" s="304">
        <f t="shared" ca="1" si="377"/>
        <v>150.20405751074856</v>
      </c>
      <c r="M896" s="306">
        <f t="shared" ca="1" si="393"/>
        <v>-1.4996654277085393</v>
      </c>
      <c r="N896" s="304">
        <f t="shared" ca="1" si="394"/>
        <v>-85.924499689380767</v>
      </c>
      <c r="P896" s="310">
        <f t="shared" ca="1" si="395"/>
        <v>23</v>
      </c>
      <c r="Q896" s="304">
        <f t="shared" ca="1" si="396"/>
        <v>0</v>
      </c>
      <c r="R896" s="306">
        <f t="shared" ca="1" si="397"/>
        <v>0</v>
      </c>
      <c r="S896" s="307">
        <f t="shared" ca="1" si="398"/>
        <v>0.4270000000000001</v>
      </c>
      <c r="T896" s="304">
        <f t="shared" ca="1" si="378"/>
        <v>4.1888700000000014</v>
      </c>
      <c r="U896" s="311">
        <f t="shared" ca="1" si="379"/>
        <v>0</v>
      </c>
      <c r="V896" s="306">
        <f t="shared" ca="1" si="380"/>
        <v>1.2256984343495165</v>
      </c>
      <c r="W896" s="304">
        <f t="shared" ca="1" si="381"/>
        <v>3.555232966301344</v>
      </c>
      <c r="Y896" s="314" t="str">
        <f t="shared" ca="1" si="399"/>
        <v/>
      </c>
      <c r="Z896" s="315" t="str">
        <f t="shared" ca="1" si="400"/>
        <v/>
      </c>
      <c r="AA896" s="316" t="str">
        <f t="shared" ca="1" si="401"/>
        <v/>
      </c>
      <c r="AC896" s="310" t="e">
        <f t="shared" ca="1" si="402"/>
        <v>#N/A</v>
      </c>
      <c r="AD896" s="323" t="e">
        <f t="shared" ca="1" si="403"/>
        <v>#N/A</v>
      </c>
      <c r="AE896" s="324" t="e">
        <f t="shared" ca="1" si="382"/>
        <v>#N/A</v>
      </c>
      <c r="AG896" s="306">
        <f t="shared" ca="1" si="404"/>
        <v>1.4591704021463698</v>
      </c>
      <c r="AH896" s="304">
        <f t="shared" ca="1" si="405"/>
        <v>-8.3260217700503656</v>
      </c>
    </row>
    <row r="897" spans="1:34" x14ac:dyDescent="0.3">
      <c r="A897" s="347">
        <f t="shared" ca="1" si="383"/>
        <v>1E-4</v>
      </c>
      <c r="B897" s="304">
        <f t="shared" ca="1" si="384"/>
        <v>16.155199999999834</v>
      </c>
      <c r="D897" s="306">
        <f t="shared" ca="1" si="385"/>
        <v>-0.59174173298825883</v>
      </c>
      <c r="E897" s="307">
        <f t="shared" ca="1" si="386"/>
        <v>-1.5049819181454485</v>
      </c>
      <c r="F897" s="304">
        <f t="shared" ca="1" si="387"/>
        <v>1.6171360030945763</v>
      </c>
      <c r="G897" s="306">
        <f t="shared" ca="1" si="388"/>
        <v>3.7215797101832124</v>
      </c>
      <c r="H897" s="307">
        <f t="shared" ca="1" si="389"/>
        <v>-52.232867079848106</v>
      </c>
      <c r="I897" s="304">
        <f t="shared" ca="1" si="390"/>
        <v>52.365280090154464</v>
      </c>
      <c r="J897" s="306">
        <f t="shared" ca="1" si="391"/>
        <v>150.09587023194715</v>
      </c>
      <c r="K897" s="307">
        <f t="shared" ca="1" si="392"/>
        <v>-5.705103278511328</v>
      </c>
      <c r="L897" s="304">
        <f t="shared" ca="1" si="377"/>
        <v>150.20425581222389</v>
      </c>
      <c r="M897" s="306">
        <f t="shared" ca="1" si="393"/>
        <v>-1.4996667591362345</v>
      </c>
      <c r="N897" s="304">
        <f t="shared" ca="1" si="394"/>
        <v>-85.924575974568427</v>
      </c>
      <c r="P897" s="310">
        <f t="shared" ca="1" si="395"/>
        <v>23</v>
      </c>
      <c r="Q897" s="304">
        <f t="shared" ca="1" si="396"/>
        <v>0</v>
      </c>
      <c r="R897" s="306">
        <f t="shared" ca="1" si="397"/>
        <v>0</v>
      </c>
      <c r="S897" s="307">
        <f t="shared" ca="1" si="398"/>
        <v>0.4270000000000001</v>
      </c>
      <c r="T897" s="304">
        <f t="shared" ca="1" si="378"/>
        <v>4.1888700000000014</v>
      </c>
      <c r="U897" s="311">
        <f t="shared" ca="1" si="379"/>
        <v>0</v>
      </c>
      <c r="V897" s="306">
        <f t="shared" ca="1" si="380"/>
        <v>1.2256990745662479</v>
      </c>
      <c r="W897" s="304">
        <f t="shared" ca="1" si="381"/>
        <v>3.5552546361968949</v>
      </c>
      <c r="Y897" s="314" t="str">
        <f t="shared" ca="1" si="399"/>
        <v/>
      </c>
      <c r="Z897" s="315" t="str">
        <f t="shared" ca="1" si="400"/>
        <v/>
      </c>
      <c r="AA897" s="316" t="str">
        <f t="shared" ca="1" si="401"/>
        <v/>
      </c>
      <c r="AC897" s="310" t="e">
        <f t="shared" ca="1" si="402"/>
        <v>#N/A</v>
      </c>
      <c r="AD897" s="323" t="e">
        <f t="shared" ca="1" si="403"/>
        <v>#N/A</v>
      </c>
      <c r="AE897" s="324" t="e">
        <f t="shared" ca="1" si="382"/>
        <v>#N/A</v>
      </c>
      <c r="AG897" s="306">
        <f t="shared" ca="1" si="404"/>
        <v>1.4591205798924651</v>
      </c>
      <c r="AH897" s="304">
        <f t="shared" ca="1" si="405"/>
        <v>-8.3260725206120441</v>
      </c>
    </row>
    <row r="898" spans="1:34" x14ac:dyDescent="0.3">
      <c r="A898" s="347">
        <f t="shared" ca="1" si="383"/>
        <v>1E-4</v>
      </c>
      <c r="B898" s="304">
        <f t="shared" ca="1" si="384"/>
        <v>16.155299999999833</v>
      </c>
      <c r="D898" s="306">
        <f t="shared" ca="1" si="385"/>
        <v>-0.59173428218005097</v>
      </c>
      <c r="E898" s="307">
        <f t="shared" ca="1" si="386"/>
        <v>-1.5049305094480161</v>
      </c>
      <c r="F898" s="304">
        <f t="shared" ca="1" si="387"/>
        <v>1.6170854334185951</v>
      </c>
      <c r="G898" s="306">
        <f t="shared" ca="1" si="388"/>
        <v>3.7215205367549946</v>
      </c>
      <c r="H898" s="307">
        <f t="shared" ca="1" si="389"/>
        <v>-52.233017572899051</v>
      </c>
      <c r="I898" s="304">
        <f t="shared" ca="1" si="390"/>
        <v>52.365425997276773</v>
      </c>
      <c r="J898" s="306">
        <f t="shared" ca="1" si="391"/>
        <v>150.09587023194715</v>
      </c>
      <c r="K898" s="307">
        <f t="shared" ca="1" si="392"/>
        <v>-5.7103265727439654</v>
      </c>
      <c r="L898" s="304">
        <f t="shared" ca="1" si="377"/>
        <v>150.20445429564631</v>
      </c>
      <c r="M898" s="306">
        <f t="shared" ca="1" si="393"/>
        <v>-1.4996680905353406</v>
      </c>
      <c r="N898" s="304">
        <f t="shared" ca="1" si="394"/>
        <v>-85.924652258118059</v>
      </c>
      <c r="P898" s="310">
        <f t="shared" ca="1" si="395"/>
        <v>23</v>
      </c>
      <c r="Q898" s="304">
        <f t="shared" ca="1" si="396"/>
        <v>0</v>
      </c>
      <c r="R898" s="306">
        <f t="shared" ca="1" si="397"/>
        <v>0</v>
      </c>
      <c r="S898" s="307">
        <f t="shared" ca="1" si="398"/>
        <v>0.4270000000000001</v>
      </c>
      <c r="T898" s="304">
        <f t="shared" ca="1" si="378"/>
        <v>4.1888700000000014</v>
      </c>
      <c r="U898" s="311">
        <f t="shared" ca="1" si="379"/>
        <v>0</v>
      </c>
      <c r="V898" s="306">
        <f t="shared" ca="1" si="380"/>
        <v>1.225699714785158</v>
      </c>
      <c r="W898" s="304">
        <f t="shared" ca="1" si="381"/>
        <v>3.5552763054981642</v>
      </c>
      <c r="Y898" s="314" t="str">
        <f t="shared" ca="1" si="399"/>
        <v/>
      </c>
      <c r="Z898" s="315" t="str">
        <f t="shared" ca="1" si="400"/>
        <v/>
      </c>
      <c r="AA898" s="316" t="str">
        <f t="shared" ca="1" si="401"/>
        <v/>
      </c>
      <c r="AC898" s="310" t="e">
        <f t="shared" ca="1" si="402"/>
        <v>#N/A</v>
      </c>
      <c r="AD898" s="323" t="e">
        <f t="shared" ca="1" si="403"/>
        <v>#N/A</v>
      </c>
      <c r="AE898" s="324" t="e">
        <f t="shared" ca="1" si="382"/>
        <v>#N/A</v>
      </c>
      <c r="AG898" s="306">
        <f t="shared" ca="1" si="404"/>
        <v>1.4590707589930467</v>
      </c>
      <c r="AH898" s="304">
        <f t="shared" ca="1" si="405"/>
        <v>-8.3261232697819541</v>
      </c>
    </row>
    <row r="899" spans="1:34" x14ac:dyDescent="0.3">
      <c r="A899" s="347">
        <f t="shared" ca="1" si="383"/>
        <v>1E-4</v>
      </c>
      <c r="B899" s="304">
        <f t="shared" ca="1" si="384"/>
        <v>16.155399999999833</v>
      </c>
      <c r="D899" s="306">
        <f t="shared" ca="1" si="385"/>
        <v>-0.59172683137452398</v>
      </c>
      <c r="E899" s="307">
        <f t="shared" ca="1" si="386"/>
        <v>-1.5048791021608618</v>
      </c>
      <c r="F899" s="304">
        <f t="shared" ca="1" si="387"/>
        <v>1.6170348651433017</v>
      </c>
      <c r="G899" s="306">
        <f t="shared" ca="1" si="388"/>
        <v>3.7214613640718572</v>
      </c>
      <c r="H899" s="307">
        <f t="shared" ca="1" si="389"/>
        <v>-52.23316806080927</v>
      </c>
      <c r="I899" s="304">
        <f t="shared" ca="1" si="390"/>
        <v>52.365571899417127</v>
      </c>
      <c r="J899" s="306">
        <f t="shared" ca="1" si="391"/>
        <v>150.09587023194715</v>
      </c>
      <c r="K899" s="307">
        <f t="shared" ca="1" si="392"/>
        <v>-5.715549882025651</v>
      </c>
      <c r="L899" s="304">
        <f t="shared" ca="1" si="377"/>
        <v>150.20465296101662</v>
      </c>
      <c r="M899" s="306">
        <f t="shared" ca="1" si="393"/>
        <v>-1.4996694219058577</v>
      </c>
      <c r="N899" s="304">
        <f t="shared" ca="1" si="394"/>
        <v>-85.924728540029648</v>
      </c>
      <c r="P899" s="310">
        <f t="shared" ca="1" si="395"/>
        <v>23</v>
      </c>
      <c r="Q899" s="304">
        <f t="shared" ca="1" si="396"/>
        <v>0</v>
      </c>
      <c r="R899" s="306">
        <f t="shared" ca="1" si="397"/>
        <v>0</v>
      </c>
      <c r="S899" s="307">
        <f t="shared" ca="1" si="398"/>
        <v>0.4270000000000001</v>
      </c>
      <c r="T899" s="304">
        <f t="shared" ca="1" si="378"/>
        <v>4.1888700000000014</v>
      </c>
      <c r="U899" s="311">
        <f t="shared" ca="1" si="379"/>
        <v>0</v>
      </c>
      <c r="V899" s="306">
        <f t="shared" ca="1" si="380"/>
        <v>1.2257003550062469</v>
      </c>
      <c r="W899" s="304">
        <f t="shared" ca="1" si="381"/>
        <v>3.5552979742051667</v>
      </c>
      <c r="Y899" s="314" t="str">
        <f t="shared" ca="1" si="399"/>
        <v/>
      </c>
      <c r="Z899" s="315" t="str">
        <f t="shared" ca="1" si="400"/>
        <v/>
      </c>
      <c r="AA899" s="316" t="str">
        <f t="shared" ca="1" si="401"/>
        <v/>
      </c>
      <c r="AC899" s="310" t="e">
        <f t="shared" ca="1" si="402"/>
        <v>#N/A</v>
      </c>
      <c r="AD899" s="323" t="e">
        <f t="shared" ca="1" si="403"/>
        <v>#N/A</v>
      </c>
      <c r="AE899" s="324" t="e">
        <f t="shared" ca="1" si="382"/>
        <v>#N/A</v>
      </c>
      <c r="AG899" s="306">
        <f t="shared" ca="1" si="404"/>
        <v>1.4590209394481182</v>
      </c>
      <c r="AH899" s="304">
        <f t="shared" ca="1" si="405"/>
        <v>-8.3261740175601009</v>
      </c>
    </row>
    <row r="900" spans="1:34" x14ac:dyDescent="0.3">
      <c r="A900" s="347">
        <f t="shared" ca="1" si="383"/>
        <v>1E-4</v>
      </c>
      <c r="B900" s="304">
        <f t="shared" ca="1" si="384"/>
        <v>16.155499999999833</v>
      </c>
      <c r="D900" s="306">
        <f t="shared" ca="1" si="385"/>
        <v>-0.59171938057168905</v>
      </c>
      <c r="E900" s="307">
        <f t="shared" ca="1" si="386"/>
        <v>-1.5048276962839484</v>
      </c>
      <c r="F900" s="304">
        <f t="shared" ca="1" si="387"/>
        <v>1.6169842982686624</v>
      </c>
      <c r="G900" s="306">
        <f t="shared" ca="1" si="388"/>
        <v>3.7214021921337999</v>
      </c>
      <c r="H900" s="307">
        <f t="shared" ca="1" si="389"/>
        <v>-52.233318543578896</v>
      </c>
      <c r="I900" s="304">
        <f t="shared" ca="1" si="390"/>
        <v>52.365717796575666</v>
      </c>
      <c r="J900" s="306">
        <f t="shared" ca="1" si="391"/>
        <v>150.09587023194715</v>
      </c>
      <c r="K900" s="307">
        <f t="shared" ca="1" si="392"/>
        <v>-5.7207732063558705</v>
      </c>
      <c r="L900" s="304">
        <f t="shared" ref="L900:L963" ca="1" si="406">SQRT(pos_x^2+pos_z^2)</f>
        <v>150.20485180833566</v>
      </c>
      <c r="M900" s="306">
        <f t="shared" ca="1" si="393"/>
        <v>-1.4996707532477875</v>
      </c>
      <c r="N900" s="304">
        <f t="shared" ca="1" si="394"/>
        <v>-85.924804820303322</v>
      </c>
      <c r="P900" s="310">
        <f t="shared" ca="1" si="395"/>
        <v>23</v>
      </c>
      <c r="Q900" s="304">
        <f t="shared" ca="1" si="396"/>
        <v>0</v>
      </c>
      <c r="R900" s="306">
        <f t="shared" ca="1" si="397"/>
        <v>0</v>
      </c>
      <c r="S900" s="307">
        <f t="shared" ca="1" si="398"/>
        <v>0.4270000000000001</v>
      </c>
      <c r="T900" s="304">
        <f t="shared" ref="T900:T963" ca="1" si="407">m*g</f>
        <v>4.1888700000000014</v>
      </c>
      <c r="U900" s="311">
        <f t="shared" ref="U900:U963" ca="1" si="408">IF(pos_xz&lt;L_rampe,Poids*COS(Beta),0)</f>
        <v>0</v>
      </c>
      <c r="V900" s="306">
        <f t="shared" ref="V900:V963" ca="1" si="409">Rho_moyen*(20000-Alt_rampe-pos_z)/(20000+Alt_rampe+pos_z)</f>
        <v>1.2257009952295148</v>
      </c>
      <c r="W900" s="304">
        <f t="shared" ref="W900:W963" ca="1" si="410">1/2*Rho*Sref*Cx*vit_xz^2</f>
        <v>3.5553196423179165</v>
      </c>
      <c r="Y900" s="314" t="str">
        <f t="shared" ca="1" si="399"/>
        <v/>
      </c>
      <c r="Z900" s="315" t="str">
        <f t="shared" ca="1" si="400"/>
        <v/>
      </c>
      <c r="AA900" s="316" t="str">
        <f t="shared" ca="1" si="401"/>
        <v/>
      </c>
      <c r="AC900" s="310" t="e">
        <f t="shared" ca="1" si="402"/>
        <v>#N/A</v>
      </c>
      <c r="AD900" s="323" t="e">
        <f t="shared" ca="1" si="403"/>
        <v>#N/A</v>
      </c>
      <c r="AE900" s="324" t="e">
        <f t="shared" ref="AE900:AE963" ca="1" si="411">IF(t&lt;T_para, pos_z, NA())</f>
        <v>#N/A</v>
      </c>
      <c r="AG900" s="306">
        <f t="shared" ca="1" si="404"/>
        <v>1.4589711212576351</v>
      </c>
      <c r="AH900" s="304">
        <f t="shared" ca="1" si="405"/>
        <v>-8.3262247639465237</v>
      </c>
    </row>
    <row r="901" spans="1:34" x14ac:dyDescent="0.3">
      <c r="A901" s="347">
        <f t="shared" ref="A901:A964" ca="1" si="412">IF(B900+0.01&lt;=T_ini+ROUNDUP(Temps_fin_propu,0), 0.01, IF(K900&gt;0, 0.1, 0.0001))</f>
        <v>1E-4</v>
      </c>
      <c r="B901" s="304">
        <f t="shared" ref="B901:B964" ca="1" si="413">B900+pas</f>
        <v>16.155599999999833</v>
      </c>
      <c r="D901" s="306">
        <f t="shared" ref="D901:D964" ca="1" si="414">IF(AND(L900&lt;L_rampe,Poussee&lt;Poids*SIN(M900)),0,(-W900+Poussee)/m*COS(M900)-U900/m*SIN(M900))</f>
        <v>-0.5917119297715453</v>
      </c>
      <c r="E901" s="307">
        <f t="shared" ref="E901:E964" ca="1" si="415">IF(AND(L900&lt;L_rampe,Poussee&lt;Poids*SIN(M900)),0,(-W900+Poussee)/m*SIN(M900)+U900/m*COS(M900)-Poids/m)</f>
        <v>-1.504776291817242</v>
      </c>
      <c r="F901" s="304">
        <f t="shared" ref="F901:F964" ca="1" si="416">SQRT(acc_x^2+acc_z^2)</f>
        <v>1.6169337327946425</v>
      </c>
      <c r="G901" s="306">
        <f t="shared" ref="G901:G964" ca="1" si="417">G900+acc_x*pas</f>
        <v>3.7213430209408229</v>
      </c>
      <c r="H901" s="307">
        <f t="shared" ref="H901:H964" ca="1" si="418">H900+acc_z*pas</f>
        <v>-52.23346902120808</v>
      </c>
      <c r="I901" s="304">
        <f t="shared" ref="I901:I964" ca="1" si="419">SQRT(vit_x^2+vit_z^2)</f>
        <v>52.365863688752512</v>
      </c>
      <c r="J901" s="306">
        <f t="shared" ref="J901:J964" ca="1" si="420">J900+0.5*(vit_x+G900)*pas*(K900&gt;=0)</f>
        <v>150.09587023194715</v>
      </c>
      <c r="K901" s="307">
        <f t="shared" ref="K901:K964" ca="1" si="421">K900+0.5*(vit_z+H900)*pas</f>
        <v>-5.7259965457341098</v>
      </c>
      <c r="L901" s="304">
        <f t="shared" ca="1" si="406"/>
        <v>150.20505083760423</v>
      </c>
      <c r="M901" s="306">
        <f t="shared" ref="M901:M964" ca="1" si="422">IF(AND(L900&gt;L_rampe,G901&gt;0),ATAN2(G901,H901),$M$4)</f>
        <v>-1.4996720845611302</v>
      </c>
      <c r="N901" s="304">
        <f t="shared" ref="N901:N964" ca="1" si="423">DEGREES(Beta)</f>
        <v>-85.924881098939068</v>
      </c>
      <c r="P901" s="310">
        <f t="shared" ref="P901:P964" ca="1" si="424">MATCH(t-pas/2-T_ini,CdP_t)</f>
        <v>23</v>
      </c>
      <c r="Q901" s="304">
        <f t="shared" ref="Q901:Q964" ca="1" si="425">(INDEX(CdP,2,i_P+1)-INDEX(CdP,2,i_P+0))/(INDEX(CdP,1,i_P+1)-INDEX(CdP,1,i_P+0))*(t-pas/2-T_ini-INDEX(CdP,1,i_P+0))+INDEX(CdP,2,i_P+0)</f>
        <v>0</v>
      </c>
      <c r="R901" s="306">
        <f t="shared" ref="R901:R964" ca="1" si="426">Poussee/(g*ISP)</f>
        <v>0</v>
      </c>
      <c r="S901" s="307">
        <f t="shared" ref="S901:S964" ca="1" si="427">S900-Débit*pas</f>
        <v>0.4270000000000001</v>
      </c>
      <c r="T901" s="304">
        <f t="shared" ca="1" si="407"/>
        <v>4.1888700000000014</v>
      </c>
      <c r="U901" s="311">
        <f t="shared" ca="1" si="408"/>
        <v>0</v>
      </c>
      <c r="V901" s="306">
        <f t="shared" ca="1" si="409"/>
        <v>1.2257016354549621</v>
      </c>
      <c r="W901" s="304">
        <f t="shared" ca="1" si="410"/>
        <v>3.5553413098364213</v>
      </c>
      <c r="Y901" s="314" t="str">
        <f t="shared" ref="Y901:Y964" ca="1" si="428">IF(AND(pos_z&lt;=0,K900&gt;0),"Impact balistique","") &amp; IF(AND(H902&lt;0,vit_z&gt;=0),"Apogée","") &amp; IF(AND(Poussee=0,Q900&gt;0),"Fin de propulsion","") &amp; IF(AND(L902&gt;L_rampe,pos_xz&lt;=L_rampe),"Sortie de rampe","")</f>
        <v/>
      </c>
      <c r="Z901" s="315" t="str">
        <f t="shared" ref="Z901:Z964" ca="1" si="429">IF(ABS(t-T_para)&lt;pas/2,"Para","")</f>
        <v/>
      </c>
      <c r="AA901" s="316" t="str">
        <f t="shared" ref="AA901:AA964" ca="1" si="430">IF(ABS(t-T_satellite)&lt;pas/2,"Satellite","")</f>
        <v/>
      </c>
      <c r="AC901" s="310" t="e">
        <f t="shared" ref="AC901:AC964" ca="1" si="431">IF(ABS(t-ROUND(t,0))&lt;0.001,t,NA())</f>
        <v>#N/A</v>
      </c>
      <c r="AD901" s="323" t="e">
        <f t="shared" ref="AD901:AD964" ca="1" si="432">IF(ABS(t-ROUND(t,0))&lt;0.001,pos_x,NA())</f>
        <v>#N/A</v>
      </c>
      <c r="AE901" s="324" t="e">
        <f t="shared" ca="1" si="411"/>
        <v>#N/A</v>
      </c>
      <c r="AG901" s="306">
        <f t="shared" ref="AG901:AG964" ca="1" si="433">IF(AND(L900&lt;L_rampe,Poussee&lt;Poids*SIN(M900)),0,(-W900+Poussee)/m-Poids*SIN(M900)/m)</f>
        <v>1.4589213044215672</v>
      </c>
      <c r="AH901" s="304">
        <f t="shared" ref="AH901:AH964" ca="1" si="434">IF(AND(L900&lt;L_rampe,Poussee&lt;Poids*SIN(M900)), g*SIN(M900), (-W900+Poussee)/m)</f>
        <v>-8.3262755089412543</v>
      </c>
    </row>
    <row r="902" spans="1:34" x14ac:dyDescent="0.3">
      <c r="A902" s="347">
        <f t="shared" ca="1" si="412"/>
        <v>1E-4</v>
      </c>
      <c r="B902" s="304">
        <f t="shared" ca="1" si="413"/>
        <v>16.155699999999833</v>
      </c>
      <c r="D902" s="306">
        <f t="shared" ca="1" si="414"/>
        <v>-0.59170447897410217</v>
      </c>
      <c r="E902" s="307">
        <f t="shared" ca="1" si="415"/>
        <v>-1.504724888760725</v>
      </c>
      <c r="F902" s="304">
        <f t="shared" ca="1" si="416"/>
        <v>1.6168831687212251</v>
      </c>
      <c r="G902" s="306">
        <f t="shared" ca="1" si="417"/>
        <v>3.7212838504929255</v>
      </c>
      <c r="H902" s="307">
        <f t="shared" ca="1" si="418"/>
        <v>-52.233619493696956</v>
      </c>
      <c r="I902" s="304">
        <f t="shared" ca="1" si="419"/>
        <v>52.366009575947807</v>
      </c>
      <c r="J902" s="306">
        <f t="shared" ca="1" si="420"/>
        <v>150.09587023194715</v>
      </c>
      <c r="K902" s="307">
        <f t="shared" ca="1" si="421"/>
        <v>-5.7312199001598554</v>
      </c>
      <c r="L902" s="304">
        <f t="shared" ca="1" si="406"/>
        <v>150.20525004882322</v>
      </c>
      <c r="M902" s="306">
        <f t="shared" ca="1" si="422"/>
        <v>-1.4996734158458871</v>
      </c>
      <c r="N902" s="304">
        <f t="shared" ca="1" si="423"/>
        <v>-85.92495737593697</v>
      </c>
      <c r="P902" s="310">
        <f t="shared" ca="1" si="424"/>
        <v>23</v>
      </c>
      <c r="Q902" s="304">
        <f t="shared" ca="1" si="425"/>
        <v>0</v>
      </c>
      <c r="R902" s="306">
        <f t="shared" ca="1" si="426"/>
        <v>0</v>
      </c>
      <c r="S902" s="307">
        <f t="shared" ca="1" si="427"/>
        <v>0.4270000000000001</v>
      </c>
      <c r="T902" s="304">
        <f t="shared" ca="1" si="407"/>
        <v>4.1888700000000014</v>
      </c>
      <c r="U902" s="311">
        <f t="shared" ca="1" si="408"/>
        <v>0</v>
      </c>
      <c r="V902" s="306">
        <f t="shared" ca="1" si="409"/>
        <v>1.2257022756825882</v>
      </c>
      <c r="W902" s="304">
        <f t="shared" ca="1" si="410"/>
        <v>3.5553629767606951</v>
      </c>
      <c r="Y902" s="314" t="str">
        <f t="shared" ca="1" si="428"/>
        <v/>
      </c>
      <c r="Z902" s="315" t="str">
        <f t="shared" ca="1" si="429"/>
        <v/>
      </c>
      <c r="AA902" s="316" t="str">
        <f t="shared" ca="1" si="430"/>
        <v/>
      </c>
      <c r="AC902" s="310" t="e">
        <f t="shared" ca="1" si="431"/>
        <v>#N/A</v>
      </c>
      <c r="AD902" s="323" t="e">
        <f t="shared" ca="1" si="432"/>
        <v>#N/A</v>
      </c>
      <c r="AE902" s="324" t="e">
        <f t="shared" ca="1" si="411"/>
        <v>#N/A</v>
      </c>
      <c r="AG902" s="306">
        <f t="shared" ca="1" si="433"/>
        <v>1.4588714889399022</v>
      </c>
      <c r="AH902" s="304">
        <f t="shared" ca="1" si="434"/>
        <v>-8.3263262525443107</v>
      </c>
    </row>
    <row r="903" spans="1:34" x14ac:dyDescent="0.3">
      <c r="A903" s="347">
        <f t="shared" ca="1" si="412"/>
        <v>1E-4</v>
      </c>
      <c r="B903" s="304">
        <f t="shared" ca="1" si="413"/>
        <v>16.155799999999832</v>
      </c>
      <c r="D903" s="306">
        <f t="shared" ca="1" si="414"/>
        <v>-0.59169702817936087</v>
      </c>
      <c r="E903" s="307">
        <f t="shared" ca="1" si="415"/>
        <v>-1.5046734871143634</v>
      </c>
      <c r="F903" s="304">
        <f t="shared" ca="1" si="416"/>
        <v>1.6168326060483769</v>
      </c>
      <c r="G903" s="306">
        <f t="shared" ca="1" si="417"/>
        <v>3.7212246807901077</v>
      </c>
      <c r="H903" s="307">
        <f t="shared" ca="1" si="418"/>
        <v>-52.233769961045667</v>
      </c>
      <c r="I903" s="304">
        <f t="shared" ca="1" si="419"/>
        <v>52.3661554581617</v>
      </c>
      <c r="J903" s="306">
        <f t="shared" ca="1" si="420"/>
        <v>150.09587023194715</v>
      </c>
      <c r="K903" s="307">
        <f t="shared" ca="1" si="421"/>
        <v>-5.7364432696325922</v>
      </c>
      <c r="L903" s="304">
        <f t="shared" ca="1" si="406"/>
        <v>150.20544944199338</v>
      </c>
      <c r="M903" s="306">
        <f t="shared" ca="1" si="422"/>
        <v>-1.4996747471020586</v>
      </c>
      <c r="N903" s="304">
        <f t="shared" ca="1" si="423"/>
        <v>-85.925033651297042</v>
      </c>
      <c r="P903" s="310">
        <f t="shared" ca="1" si="424"/>
        <v>23</v>
      </c>
      <c r="Q903" s="304">
        <f t="shared" ca="1" si="425"/>
        <v>0</v>
      </c>
      <c r="R903" s="306">
        <f t="shared" ca="1" si="426"/>
        <v>0</v>
      </c>
      <c r="S903" s="307">
        <f t="shared" ca="1" si="427"/>
        <v>0.4270000000000001</v>
      </c>
      <c r="T903" s="304">
        <f t="shared" ca="1" si="407"/>
        <v>4.1888700000000014</v>
      </c>
      <c r="U903" s="311">
        <f t="shared" ca="1" si="408"/>
        <v>0</v>
      </c>
      <c r="V903" s="306">
        <f t="shared" ca="1" si="409"/>
        <v>1.2257029159123931</v>
      </c>
      <c r="W903" s="304">
        <f t="shared" ca="1" si="410"/>
        <v>3.5553846430907505</v>
      </c>
      <c r="Y903" s="314" t="str">
        <f t="shared" ca="1" si="428"/>
        <v/>
      </c>
      <c r="Z903" s="315" t="str">
        <f t="shared" ca="1" si="429"/>
        <v/>
      </c>
      <c r="AA903" s="316" t="str">
        <f t="shared" ca="1" si="430"/>
        <v/>
      </c>
      <c r="AC903" s="310" t="e">
        <f t="shared" ca="1" si="431"/>
        <v>#N/A</v>
      </c>
      <c r="AD903" s="323" t="e">
        <f t="shared" ca="1" si="432"/>
        <v>#N/A</v>
      </c>
      <c r="AE903" s="324" t="e">
        <f t="shared" ca="1" si="411"/>
        <v>#N/A</v>
      </c>
      <c r="AG903" s="306">
        <f t="shared" ca="1" si="433"/>
        <v>1.4588216748126115</v>
      </c>
      <c r="AH903" s="304">
        <f t="shared" ca="1" si="434"/>
        <v>-8.3263769947557247</v>
      </c>
    </row>
    <row r="904" spans="1:34" x14ac:dyDescent="0.3">
      <c r="A904" s="347">
        <f t="shared" ca="1" si="412"/>
        <v>1E-4</v>
      </c>
      <c r="B904" s="304">
        <f t="shared" ca="1" si="413"/>
        <v>16.155899999999832</v>
      </c>
      <c r="D904" s="306">
        <f t="shared" ca="1" si="414"/>
        <v>-0.59168957738732963</v>
      </c>
      <c r="E904" s="307">
        <f t="shared" ca="1" si="415"/>
        <v>-1.5046220868781308</v>
      </c>
      <c r="F904" s="304">
        <f t="shared" ca="1" si="416"/>
        <v>1.6167820447760726</v>
      </c>
      <c r="G904" s="306">
        <f t="shared" ca="1" si="417"/>
        <v>3.721165511832369</v>
      </c>
      <c r="H904" s="307">
        <f t="shared" ca="1" si="418"/>
        <v>-52.233920423254354</v>
      </c>
      <c r="I904" s="304">
        <f t="shared" ca="1" si="419"/>
        <v>52.366301335394297</v>
      </c>
      <c r="J904" s="306">
        <f t="shared" ca="1" si="420"/>
        <v>150.09587023194715</v>
      </c>
      <c r="K904" s="307">
        <f t="shared" ca="1" si="421"/>
        <v>-5.7416666541518069</v>
      </c>
      <c r="L904" s="304">
        <f t="shared" ca="1" si="406"/>
        <v>150.20564901711558</v>
      </c>
      <c r="M904" s="306">
        <f t="shared" ca="1" si="422"/>
        <v>-1.4996760783296457</v>
      </c>
      <c r="N904" s="304">
        <f t="shared" ca="1" si="423"/>
        <v>-85.925109925019356</v>
      </c>
      <c r="P904" s="310">
        <f t="shared" ca="1" si="424"/>
        <v>23</v>
      </c>
      <c r="Q904" s="304">
        <f t="shared" ca="1" si="425"/>
        <v>0</v>
      </c>
      <c r="R904" s="306">
        <f t="shared" ca="1" si="426"/>
        <v>0</v>
      </c>
      <c r="S904" s="307">
        <f t="shared" ca="1" si="427"/>
        <v>0.4270000000000001</v>
      </c>
      <c r="T904" s="304">
        <f t="shared" ca="1" si="407"/>
        <v>4.1888700000000014</v>
      </c>
      <c r="U904" s="311">
        <f t="shared" ca="1" si="408"/>
        <v>0</v>
      </c>
      <c r="V904" s="306">
        <f t="shared" ca="1" si="409"/>
        <v>1.2257035561443763</v>
      </c>
      <c r="W904" s="304">
        <f t="shared" ca="1" si="410"/>
        <v>3.5554063088265941</v>
      </c>
      <c r="Y904" s="314" t="str">
        <f t="shared" ca="1" si="428"/>
        <v/>
      </c>
      <c r="Z904" s="315" t="str">
        <f t="shared" ca="1" si="429"/>
        <v/>
      </c>
      <c r="AA904" s="316" t="str">
        <f t="shared" ca="1" si="430"/>
        <v/>
      </c>
      <c r="AC904" s="310" t="e">
        <f t="shared" ca="1" si="431"/>
        <v>#N/A</v>
      </c>
      <c r="AD904" s="323" t="e">
        <f t="shared" ca="1" si="432"/>
        <v>#N/A</v>
      </c>
      <c r="AE904" s="324" t="e">
        <f t="shared" ca="1" si="411"/>
        <v>#N/A</v>
      </c>
      <c r="AG904" s="306">
        <f t="shared" ca="1" si="433"/>
        <v>1.4587718620396579</v>
      </c>
      <c r="AH904" s="304">
        <f t="shared" ca="1" si="434"/>
        <v>-8.3264277355755265</v>
      </c>
    </row>
    <row r="905" spans="1:34" x14ac:dyDescent="0.3">
      <c r="A905" s="347">
        <f t="shared" ca="1" si="412"/>
        <v>1E-4</v>
      </c>
      <c r="B905" s="304">
        <f t="shared" ca="1" si="413"/>
        <v>16.155999999999832</v>
      </c>
      <c r="D905" s="306">
        <f t="shared" ca="1" si="414"/>
        <v>-0.59168212659801234</v>
      </c>
      <c r="E905" s="307">
        <f t="shared" ca="1" si="415"/>
        <v>-1.5045706880520058</v>
      </c>
      <c r="F905" s="304">
        <f t="shared" ca="1" si="416"/>
        <v>1.6167314849042906</v>
      </c>
      <c r="G905" s="306">
        <f t="shared" ca="1" si="417"/>
        <v>3.7211063436197094</v>
      </c>
      <c r="H905" s="307">
        <f t="shared" ca="1" si="418"/>
        <v>-52.234070880323159</v>
      </c>
      <c r="I905" s="304">
        <f t="shared" ca="1" si="419"/>
        <v>52.366447207645763</v>
      </c>
      <c r="J905" s="306">
        <f t="shared" ca="1" si="420"/>
        <v>150.09587023194715</v>
      </c>
      <c r="K905" s="307">
        <f t="shared" ca="1" si="421"/>
        <v>-5.746890053716986</v>
      </c>
      <c r="L905" s="304">
        <f t="shared" ca="1" si="406"/>
        <v>150.20584877419063</v>
      </c>
      <c r="M905" s="306">
        <f t="shared" ca="1" si="422"/>
        <v>-1.4996774095286491</v>
      </c>
      <c r="N905" s="304">
        <f t="shared" ca="1" si="423"/>
        <v>-85.92518619710394</v>
      </c>
      <c r="P905" s="310">
        <f t="shared" ca="1" si="424"/>
        <v>23</v>
      </c>
      <c r="Q905" s="304">
        <f t="shared" ca="1" si="425"/>
        <v>0</v>
      </c>
      <c r="R905" s="306">
        <f t="shared" ca="1" si="426"/>
        <v>0</v>
      </c>
      <c r="S905" s="307">
        <f t="shared" ca="1" si="427"/>
        <v>0.4270000000000001</v>
      </c>
      <c r="T905" s="304">
        <f t="shared" ca="1" si="407"/>
        <v>4.1888700000000014</v>
      </c>
      <c r="U905" s="311">
        <f t="shared" ca="1" si="408"/>
        <v>0</v>
      </c>
      <c r="V905" s="306">
        <f t="shared" ca="1" si="409"/>
        <v>1.2257041963785387</v>
      </c>
      <c r="W905" s="304">
        <f t="shared" ca="1" si="410"/>
        <v>3.5554279739682442</v>
      </c>
      <c r="Y905" s="314" t="str">
        <f t="shared" ca="1" si="428"/>
        <v/>
      </c>
      <c r="Z905" s="315" t="str">
        <f t="shared" ca="1" si="429"/>
        <v/>
      </c>
      <c r="AA905" s="316" t="str">
        <f t="shared" ca="1" si="430"/>
        <v/>
      </c>
      <c r="AC905" s="310" t="e">
        <f t="shared" ca="1" si="431"/>
        <v>#N/A</v>
      </c>
      <c r="AD905" s="323" t="e">
        <f t="shared" ca="1" si="432"/>
        <v>#N/A</v>
      </c>
      <c r="AE905" s="324" t="e">
        <f t="shared" ca="1" si="411"/>
        <v>#N/A</v>
      </c>
      <c r="AG905" s="306">
        <f t="shared" ca="1" si="433"/>
        <v>1.4587220506210343</v>
      </c>
      <c r="AH905" s="304">
        <f t="shared" ca="1" si="434"/>
        <v>-8.3264784750037322</v>
      </c>
    </row>
    <row r="906" spans="1:34" x14ac:dyDescent="0.3">
      <c r="A906" s="347">
        <f t="shared" ca="1" si="412"/>
        <v>1E-4</v>
      </c>
      <c r="B906" s="304">
        <f t="shared" ca="1" si="413"/>
        <v>16.156099999999832</v>
      </c>
      <c r="D906" s="306">
        <f t="shared" ca="1" si="414"/>
        <v>-0.59167467581141442</v>
      </c>
      <c r="E906" s="307">
        <f t="shared" ca="1" si="415"/>
        <v>-1.504519290635951</v>
      </c>
      <c r="F906" s="304">
        <f t="shared" ca="1" si="416"/>
        <v>1.6166809264329951</v>
      </c>
      <c r="G906" s="306">
        <f t="shared" ca="1" si="417"/>
        <v>3.7210471761521284</v>
      </c>
      <c r="H906" s="307">
        <f t="shared" ca="1" si="418"/>
        <v>-52.234221332252226</v>
      </c>
      <c r="I906" s="304">
        <f t="shared" ca="1" si="419"/>
        <v>52.366593074916217</v>
      </c>
      <c r="J906" s="306">
        <f t="shared" ca="1" si="420"/>
        <v>150.09587023194715</v>
      </c>
      <c r="K906" s="307">
        <f t="shared" ca="1" si="421"/>
        <v>-5.7521134683276145</v>
      </c>
      <c r="L906" s="304">
        <f t="shared" ca="1" si="406"/>
        <v>150.20604871321939</v>
      </c>
      <c r="M906" s="306">
        <f t="shared" ca="1" si="422"/>
        <v>-1.4996787406990697</v>
      </c>
      <c r="N906" s="304">
        <f t="shared" ca="1" si="423"/>
        <v>-85.925262467550851</v>
      </c>
      <c r="P906" s="310">
        <f t="shared" ca="1" si="424"/>
        <v>23</v>
      </c>
      <c r="Q906" s="304">
        <f t="shared" ca="1" si="425"/>
        <v>0</v>
      </c>
      <c r="R906" s="306">
        <f t="shared" ca="1" si="426"/>
        <v>0</v>
      </c>
      <c r="S906" s="307">
        <f t="shared" ca="1" si="427"/>
        <v>0.4270000000000001</v>
      </c>
      <c r="T906" s="304">
        <f t="shared" ca="1" si="407"/>
        <v>4.1888700000000014</v>
      </c>
      <c r="U906" s="311">
        <f t="shared" ca="1" si="408"/>
        <v>0</v>
      </c>
      <c r="V906" s="306">
        <f t="shared" ca="1" si="409"/>
        <v>1.2257048366148793</v>
      </c>
      <c r="W906" s="304">
        <f t="shared" ca="1" si="410"/>
        <v>3.5554496385157082</v>
      </c>
      <c r="Y906" s="314" t="str">
        <f t="shared" ca="1" si="428"/>
        <v/>
      </c>
      <c r="Z906" s="315" t="str">
        <f t="shared" ca="1" si="429"/>
        <v/>
      </c>
      <c r="AA906" s="316" t="str">
        <f t="shared" ca="1" si="430"/>
        <v/>
      </c>
      <c r="AC906" s="310" t="e">
        <f t="shared" ca="1" si="431"/>
        <v>#N/A</v>
      </c>
      <c r="AD906" s="323" t="e">
        <f t="shared" ca="1" si="432"/>
        <v>#N/A</v>
      </c>
      <c r="AE906" s="324" t="e">
        <f t="shared" ca="1" si="411"/>
        <v>#N/A</v>
      </c>
      <c r="AG906" s="306">
        <f t="shared" ca="1" si="433"/>
        <v>1.4586722405566999</v>
      </c>
      <c r="AH906" s="304">
        <f t="shared" ca="1" si="434"/>
        <v>-8.3265292130403825</v>
      </c>
    </row>
    <row r="907" spans="1:34" x14ac:dyDescent="0.3">
      <c r="A907" s="347">
        <f t="shared" ca="1" si="412"/>
        <v>1E-4</v>
      </c>
      <c r="B907" s="304">
        <f t="shared" ca="1" si="413"/>
        <v>16.156199999999831</v>
      </c>
      <c r="D907" s="306">
        <f t="shared" ca="1" si="414"/>
        <v>-0.59166722502754165</v>
      </c>
      <c r="E907" s="307">
        <f t="shared" ca="1" si="415"/>
        <v>-1.5044678946299452</v>
      </c>
      <c r="F907" s="304">
        <f t="shared" ca="1" si="416"/>
        <v>1.6166303693621655</v>
      </c>
      <c r="G907" s="306">
        <f t="shared" ca="1" si="417"/>
        <v>3.7209880094296257</v>
      </c>
      <c r="H907" s="307">
        <f t="shared" ca="1" si="418"/>
        <v>-52.234371779041687</v>
      </c>
      <c r="I907" s="304">
        <f t="shared" ca="1" si="419"/>
        <v>52.366738937205795</v>
      </c>
      <c r="J907" s="306">
        <f t="shared" ca="1" si="420"/>
        <v>150.09587023194715</v>
      </c>
      <c r="K907" s="307">
        <f t="shared" ca="1" si="421"/>
        <v>-5.7573368979831789</v>
      </c>
      <c r="L907" s="304">
        <f t="shared" ca="1" si="406"/>
        <v>150.20624883420263</v>
      </c>
      <c r="M907" s="306">
        <f t="shared" ca="1" si="422"/>
        <v>-1.4996800718409085</v>
      </c>
      <c r="N907" s="304">
        <f t="shared" ca="1" si="423"/>
        <v>-85.925338736360146</v>
      </c>
      <c r="P907" s="310">
        <f t="shared" ca="1" si="424"/>
        <v>23</v>
      </c>
      <c r="Q907" s="304">
        <f t="shared" ca="1" si="425"/>
        <v>0</v>
      </c>
      <c r="R907" s="306">
        <f t="shared" ca="1" si="426"/>
        <v>0</v>
      </c>
      <c r="S907" s="307">
        <f t="shared" ca="1" si="427"/>
        <v>0.4270000000000001</v>
      </c>
      <c r="T907" s="304">
        <f t="shared" ca="1" si="407"/>
        <v>4.1888700000000014</v>
      </c>
      <c r="U907" s="311">
        <f t="shared" ca="1" si="408"/>
        <v>0</v>
      </c>
      <c r="V907" s="306">
        <f t="shared" ca="1" si="409"/>
        <v>1.225705476853399</v>
      </c>
      <c r="W907" s="304">
        <f t="shared" ca="1" si="410"/>
        <v>3.5554713024689995</v>
      </c>
      <c r="Y907" s="314" t="str">
        <f t="shared" ca="1" si="428"/>
        <v/>
      </c>
      <c r="Z907" s="315" t="str">
        <f t="shared" ca="1" si="429"/>
        <v/>
      </c>
      <c r="AA907" s="316" t="str">
        <f t="shared" ca="1" si="430"/>
        <v/>
      </c>
      <c r="AC907" s="310" t="e">
        <f t="shared" ca="1" si="431"/>
        <v>#N/A</v>
      </c>
      <c r="AD907" s="323" t="e">
        <f t="shared" ca="1" si="432"/>
        <v>#N/A</v>
      </c>
      <c r="AE907" s="324" t="e">
        <f t="shared" ca="1" si="411"/>
        <v>#N/A</v>
      </c>
      <c r="AG907" s="306">
        <f t="shared" ca="1" si="433"/>
        <v>1.4586224318466368</v>
      </c>
      <c r="AH907" s="304">
        <f t="shared" ca="1" si="434"/>
        <v>-8.3265799496854971</v>
      </c>
    </row>
    <row r="908" spans="1:34" x14ac:dyDescent="0.3">
      <c r="A908" s="347">
        <f t="shared" ca="1" si="412"/>
        <v>1E-4</v>
      </c>
      <c r="B908" s="304">
        <f t="shared" ca="1" si="413"/>
        <v>16.156299999999831</v>
      </c>
      <c r="D908" s="306">
        <f t="shared" ca="1" si="414"/>
        <v>-0.59165977424639704</v>
      </c>
      <c r="E908" s="307">
        <f t="shared" ca="1" si="415"/>
        <v>-1.5044165000339564</v>
      </c>
      <c r="F908" s="304">
        <f t="shared" ca="1" si="416"/>
        <v>1.6165798136917697</v>
      </c>
      <c r="G908" s="306">
        <f t="shared" ca="1" si="417"/>
        <v>3.7209288434522012</v>
      </c>
      <c r="H908" s="307">
        <f t="shared" ca="1" si="418"/>
        <v>-52.234522220691694</v>
      </c>
      <c r="I908" s="304">
        <f t="shared" ca="1" si="419"/>
        <v>52.366884794514647</v>
      </c>
      <c r="J908" s="306">
        <f t="shared" ca="1" si="420"/>
        <v>150.09587023194715</v>
      </c>
      <c r="K908" s="307">
        <f t="shared" ca="1" si="421"/>
        <v>-5.762560342683166</v>
      </c>
      <c r="L908" s="304">
        <f t="shared" ca="1" si="406"/>
        <v>150.20644913714119</v>
      </c>
      <c r="M908" s="306">
        <f t="shared" ca="1" si="422"/>
        <v>-1.4996814029541659</v>
      </c>
      <c r="N908" s="304">
        <f t="shared" ca="1" si="423"/>
        <v>-85.925415003531853</v>
      </c>
      <c r="P908" s="310">
        <f t="shared" ca="1" si="424"/>
        <v>23</v>
      </c>
      <c r="Q908" s="304">
        <f t="shared" ca="1" si="425"/>
        <v>0</v>
      </c>
      <c r="R908" s="306">
        <f t="shared" ca="1" si="426"/>
        <v>0</v>
      </c>
      <c r="S908" s="307">
        <f t="shared" ca="1" si="427"/>
        <v>0.4270000000000001</v>
      </c>
      <c r="T908" s="304">
        <f t="shared" ca="1" si="407"/>
        <v>4.1888700000000014</v>
      </c>
      <c r="U908" s="311">
        <f t="shared" ca="1" si="408"/>
        <v>0</v>
      </c>
      <c r="V908" s="306">
        <f t="shared" ca="1" si="409"/>
        <v>1.2257061170940968</v>
      </c>
      <c r="W908" s="304">
        <f t="shared" ca="1" si="410"/>
        <v>3.5554929658281309</v>
      </c>
      <c r="Y908" s="314" t="str">
        <f t="shared" ca="1" si="428"/>
        <v/>
      </c>
      <c r="Z908" s="315" t="str">
        <f t="shared" ca="1" si="429"/>
        <v/>
      </c>
      <c r="AA908" s="316" t="str">
        <f t="shared" ca="1" si="430"/>
        <v/>
      </c>
      <c r="AC908" s="310" t="e">
        <f t="shared" ca="1" si="431"/>
        <v>#N/A</v>
      </c>
      <c r="AD908" s="323" t="e">
        <f t="shared" ca="1" si="432"/>
        <v>#N/A</v>
      </c>
      <c r="AE908" s="324" t="e">
        <f t="shared" ca="1" si="411"/>
        <v>#N/A</v>
      </c>
      <c r="AG908" s="306">
        <f t="shared" ca="1" si="433"/>
        <v>1.4585726244908184</v>
      </c>
      <c r="AH908" s="304">
        <f t="shared" ca="1" si="434"/>
        <v>-8.3266306849391061</v>
      </c>
    </row>
    <row r="909" spans="1:34" x14ac:dyDescent="0.3">
      <c r="A909" s="347">
        <f t="shared" ca="1" si="412"/>
        <v>1E-4</v>
      </c>
      <c r="B909" s="304">
        <f t="shared" ca="1" si="413"/>
        <v>16.156399999999831</v>
      </c>
      <c r="D909" s="306">
        <f t="shared" ca="1" si="414"/>
        <v>-0.59165232346798879</v>
      </c>
      <c r="E909" s="307">
        <f t="shared" ca="1" si="415"/>
        <v>-1.5043651068479562</v>
      </c>
      <c r="F909" s="304">
        <f t="shared" ca="1" si="416"/>
        <v>1.6165292594217813</v>
      </c>
      <c r="G909" s="306">
        <f t="shared" ca="1" si="417"/>
        <v>3.7208696782198545</v>
      </c>
      <c r="H909" s="307">
        <f t="shared" ca="1" si="418"/>
        <v>-52.234672657202381</v>
      </c>
      <c r="I909" s="304">
        <f t="shared" ca="1" si="419"/>
        <v>52.367030646842885</v>
      </c>
      <c r="J909" s="306">
        <f t="shared" ca="1" si="420"/>
        <v>150.09587023194715</v>
      </c>
      <c r="K909" s="307">
        <f t="shared" ca="1" si="421"/>
        <v>-5.7677838024270605</v>
      </c>
      <c r="L909" s="304">
        <f t="shared" ca="1" si="406"/>
        <v>150.20664962203591</v>
      </c>
      <c r="M909" s="306">
        <f t="shared" ca="1" si="422"/>
        <v>-1.4996827340388432</v>
      </c>
      <c r="N909" s="304">
        <f t="shared" ca="1" si="423"/>
        <v>-85.925491269066043</v>
      </c>
      <c r="P909" s="310">
        <f t="shared" ca="1" si="424"/>
        <v>23</v>
      </c>
      <c r="Q909" s="304">
        <f t="shared" ca="1" si="425"/>
        <v>0</v>
      </c>
      <c r="R909" s="306">
        <f t="shared" ca="1" si="426"/>
        <v>0</v>
      </c>
      <c r="S909" s="307">
        <f t="shared" ca="1" si="427"/>
        <v>0.4270000000000001</v>
      </c>
      <c r="T909" s="304">
        <f t="shared" ca="1" si="407"/>
        <v>4.1888700000000014</v>
      </c>
      <c r="U909" s="311">
        <f t="shared" ca="1" si="408"/>
        <v>0</v>
      </c>
      <c r="V909" s="306">
        <f t="shared" ca="1" si="409"/>
        <v>1.2257067573369735</v>
      </c>
      <c r="W909" s="304">
        <f t="shared" ca="1" si="410"/>
        <v>3.5555146285931114</v>
      </c>
      <c r="Y909" s="314" t="str">
        <f t="shared" ca="1" si="428"/>
        <v/>
      </c>
      <c r="Z909" s="315" t="str">
        <f t="shared" ca="1" si="429"/>
        <v/>
      </c>
      <c r="AA909" s="316" t="str">
        <f t="shared" ca="1" si="430"/>
        <v/>
      </c>
      <c r="AC909" s="310" t="e">
        <f t="shared" ca="1" si="431"/>
        <v>#N/A</v>
      </c>
      <c r="AD909" s="323" t="e">
        <f t="shared" ca="1" si="432"/>
        <v>#N/A</v>
      </c>
      <c r="AE909" s="324" t="e">
        <f t="shared" ca="1" si="411"/>
        <v>#N/A</v>
      </c>
      <c r="AG909" s="306">
        <f t="shared" ca="1" si="433"/>
        <v>1.4585228184892092</v>
      </c>
      <c r="AH909" s="304">
        <f t="shared" ca="1" si="434"/>
        <v>-8.3266814188012415</v>
      </c>
    </row>
    <row r="910" spans="1:34" x14ac:dyDescent="0.3">
      <c r="A910" s="347">
        <f t="shared" ca="1" si="412"/>
        <v>1E-4</v>
      </c>
      <c r="B910" s="304">
        <f t="shared" ca="1" si="413"/>
        <v>16.156499999999831</v>
      </c>
      <c r="D910" s="306">
        <f t="shared" ca="1" si="414"/>
        <v>-0.59164487269231747</v>
      </c>
      <c r="E910" s="307">
        <f t="shared" ca="1" si="415"/>
        <v>-1.5043137150719215</v>
      </c>
      <c r="F910" s="304">
        <f t="shared" ca="1" si="416"/>
        <v>1.6164787065521757</v>
      </c>
      <c r="G910" s="306">
        <f t="shared" ca="1" si="417"/>
        <v>3.7208105137325851</v>
      </c>
      <c r="H910" s="307">
        <f t="shared" ca="1" si="418"/>
        <v>-52.23482308857389</v>
      </c>
      <c r="I910" s="304">
        <f t="shared" ca="1" si="419"/>
        <v>52.367176494190659</v>
      </c>
      <c r="J910" s="306">
        <f t="shared" ca="1" si="420"/>
        <v>150.09587023194715</v>
      </c>
      <c r="K910" s="307">
        <f t="shared" ca="1" si="421"/>
        <v>-5.773007277214349</v>
      </c>
      <c r="L910" s="304">
        <f t="shared" ca="1" si="406"/>
        <v>150.20685028888758</v>
      </c>
      <c r="M910" s="306">
        <f t="shared" ca="1" si="422"/>
        <v>-1.4996840650949408</v>
      </c>
      <c r="N910" s="304">
        <f t="shared" ca="1" si="423"/>
        <v>-85.925567532962731</v>
      </c>
      <c r="P910" s="310">
        <f t="shared" ca="1" si="424"/>
        <v>23</v>
      </c>
      <c r="Q910" s="304">
        <f t="shared" ca="1" si="425"/>
        <v>0</v>
      </c>
      <c r="R910" s="306">
        <f t="shared" ca="1" si="426"/>
        <v>0</v>
      </c>
      <c r="S910" s="307">
        <f t="shared" ca="1" si="427"/>
        <v>0.4270000000000001</v>
      </c>
      <c r="T910" s="304">
        <f t="shared" ca="1" si="407"/>
        <v>4.1888700000000014</v>
      </c>
      <c r="U910" s="311">
        <f t="shared" ca="1" si="408"/>
        <v>0</v>
      </c>
      <c r="V910" s="306">
        <f t="shared" ca="1" si="409"/>
        <v>1.2257073975820281</v>
      </c>
      <c r="W910" s="304">
        <f t="shared" ca="1" si="410"/>
        <v>3.5555362907639529</v>
      </c>
      <c r="Y910" s="314" t="str">
        <f t="shared" ca="1" si="428"/>
        <v/>
      </c>
      <c r="Z910" s="315" t="str">
        <f t="shared" ca="1" si="429"/>
        <v/>
      </c>
      <c r="AA910" s="316" t="str">
        <f t="shared" ca="1" si="430"/>
        <v/>
      </c>
      <c r="AC910" s="310" t="e">
        <f t="shared" ca="1" si="431"/>
        <v>#N/A</v>
      </c>
      <c r="AD910" s="323" t="e">
        <f t="shared" ca="1" si="432"/>
        <v>#N/A</v>
      </c>
      <c r="AE910" s="324" t="e">
        <f t="shared" ca="1" si="411"/>
        <v>#N/A</v>
      </c>
      <c r="AG910" s="306">
        <f t="shared" ca="1" si="433"/>
        <v>1.4584730138417967</v>
      </c>
      <c r="AH910" s="304">
        <f t="shared" ca="1" si="434"/>
        <v>-8.326732151271921</v>
      </c>
    </row>
    <row r="911" spans="1:34" x14ac:dyDescent="0.3">
      <c r="A911" s="347">
        <f t="shared" ca="1" si="412"/>
        <v>1E-4</v>
      </c>
      <c r="B911" s="304">
        <f t="shared" ca="1" si="413"/>
        <v>16.15659999999983</v>
      </c>
      <c r="D911" s="306">
        <f t="shared" ca="1" si="414"/>
        <v>-0.59163742191939317</v>
      </c>
      <c r="E911" s="307">
        <f t="shared" ca="1" si="415"/>
        <v>-1.504262324705822</v>
      </c>
      <c r="F911" s="304">
        <f t="shared" ca="1" si="416"/>
        <v>1.6164281550829254</v>
      </c>
      <c r="G911" s="306">
        <f t="shared" ca="1" si="417"/>
        <v>3.720751349990393</v>
      </c>
      <c r="H911" s="307">
        <f t="shared" ca="1" si="418"/>
        <v>-52.234973514806363</v>
      </c>
      <c r="I911" s="304">
        <f t="shared" ca="1" si="419"/>
        <v>52.367322336558104</v>
      </c>
      <c r="J911" s="306">
        <f t="shared" ca="1" si="420"/>
        <v>150.09587023194715</v>
      </c>
      <c r="K911" s="307">
        <f t="shared" ca="1" si="421"/>
        <v>-5.7782307670445183</v>
      </c>
      <c r="L911" s="304">
        <f t="shared" ca="1" si="406"/>
        <v>150.20705113769705</v>
      </c>
      <c r="M911" s="306">
        <f t="shared" ca="1" si="422"/>
        <v>-1.4996853961224599</v>
      </c>
      <c r="N911" s="304">
        <f t="shared" ca="1" si="423"/>
        <v>-85.925643795221987</v>
      </c>
      <c r="P911" s="310">
        <f t="shared" ca="1" si="424"/>
        <v>23</v>
      </c>
      <c r="Q911" s="304">
        <f t="shared" ca="1" si="425"/>
        <v>0</v>
      </c>
      <c r="R911" s="306">
        <f t="shared" ca="1" si="426"/>
        <v>0</v>
      </c>
      <c r="S911" s="307">
        <f t="shared" ca="1" si="427"/>
        <v>0.4270000000000001</v>
      </c>
      <c r="T911" s="304">
        <f t="shared" ca="1" si="407"/>
        <v>4.1888700000000014</v>
      </c>
      <c r="U911" s="311">
        <f t="shared" ca="1" si="408"/>
        <v>0</v>
      </c>
      <c r="V911" s="306">
        <f t="shared" ca="1" si="409"/>
        <v>1.2257080378292617</v>
      </c>
      <c r="W911" s="304">
        <f t="shared" ca="1" si="410"/>
        <v>3.5555579523406702</v>
      </c>
      <c r="Y911" s="314" t="str">
        <f t="shared" ca="1" si="428"/>
        <v/>
      </c>
      <c r="Z911" s="315" t="str">
        <f t="shared" ca="1" si="429"/>
        <v/>
      </c>
      <c r="AA911" s="316" t="str">
        <f t="shared" ca="1" si="430"/>
        <v/>
      </c>
      <c r="AC911" s="310" t="e">
        <f t="shared" ca="1" si="431"/>
        <v>#N/A</v>
      </c>
      <c r="AD911" s="323" t="e">
        <f t="shared" ca="1" si="432"/>
        <v>#N/A</v>
      </c>
      <c r="AE911" s="324" t="e">
        <f t="shared" ca="1" si="411"/>
        <v>#N/A</v>
      </c>
      <c r="AG911" s="306">
        <f t="shared" ca="1" si="433"/>
        <v>1.4584232105485526</v>
      </c>
      <c r="AH911" s="304">
        <f t="shared" ca="1" si="434"/>
        <v>-8.3267828823511767</v>
      </c>
    </row>
    <row r="912" spans="1:34" x14ac:dyDescent="0.3">
      <c r="A912" s="347">
        <f t="shared" ca="1" si="412"/>
        <v>1E-4</v>
      </c>
      <c r="B912" s="304">
        <f t="shared" ca="1" si="413"/>
        <v>16.15669999999983</v>
      </c>
      <c r="D912" s="306">
        <f t="shared" ca="1" si="414"/>
        <v>-0.59162997114921689</v>
      </c>
      <c r="E912" s="307">
        <f t="shared" ca="1" si="415"/>
        <v>-1.5042109357496276</v>
      </c>
      <c r="F912" s="304">
        <f t="shared" ca="1" si="416"/>
        <v>1.6163776050139997</v>
      </c>
      <c r="G912" s="306">
        <f t="shared" ca="1" si="417"/>
        <v>3.7206921869932783</v>
      </c>
      <c r="H912" s="307">
        <f t="shared" ca="1" si="418"/>
        <v>-52.235123935899935</v>
      </c>
      <c r="I912" s="304">
        <f t="shared" ca="1" si="419"/>
        <v>52.367468173945348</v>
      </c>
      <c r="J912" s="306">
        <f t="shared" ca="1" si="420"/>
        <v>150.09587023194715</v>
      </c>
      <c r="K912" s="307">
        <f t="shared" ca="1" si="421"/>
        <v>-5.7834542719170541</v>
      </c>
      <c r="L912" s="304">
        <f t="shared" ca="1" si="406"/>
        <v>150.20725216846512</v>
      </c>
      <c r="M912" s="306">
        <f t="shared" ca="1" si="422"/>
        <v>-1.4996867271214009</v>
      </c>
      <c r="N912" s="304">
        <f t="shared" ca="1" si="423"/>
        <v>-85.92572005584384</v>
      </c>
      <c r="P912" s="310">
        <f t="shared" ca="1" si="424"/>
        <v>23</v>
      </c>
      <c r="Q912" s="304">
        <f t="shared" ca="1" si="425"/>
        <v>0</v>
      </c>
      <c r="R912" s="306">
        <f t="shared" ca="1" si="426"/>
        <v>0</v>
      </c>
      <c r="S912" s="307">
        <f t="shared" ca="1" si="427"/>
        <v>0.4270000000000001</v>
      </c>
      <c r="T912" s="304">
        <f t="shared" ca="1" si="407"/>
        <v>4.1888700000000014</v>
      </c>
      <c r="U912" s="311">
        <f t="shared" ca="1" si="408"/>
        <v>0</v>
      </c>
      <c r="V912" s="306">
        <f t="shared" ca="1" si="409"/>
        <v>1.225708678078673</v>
      </c>
      <c r="W912" s="304">
        <f t="shared" ca="1" si="410"/>
        <v>3.5555796133232707</v>
      </c>
      <c r="Y912" s="314" t="str">
        <f t="shared" ca="1" si="428"/>
        <v/>
      </c>
      <c r="Z912" s="315" t="str">
        <f t="shared" ca="1" si="429"/>
        <v/>
      </c>
      <c r="AA912" s="316" t="str">
        <f t="shared" ca="1" si="430"/>
        <v/>
      </c>
      <c r="AC912" s="310" t="e">
        <f t="shared" ca="1" si="431"/>
        <v>#N/A</v>
      </c>
      <c r="AD912" s="323" t="e">
        <f t="shared" ca="1" si="432"/>
        <v>#N/A</v>
      </c>
      <c r="AE912" s="324" t="e">
        <f t="shared" ca="1" si="411"/>
        <v>#N/A</v>
      </c>
      <c r="AG912" s="306">
        <f t="shared" ca="1" si="433"/>
        <v>1.4583734086094449</v>
      </c>
      <c r="AH912" s="304">
        <f t="shared" ca="1" si="434"/>
        <v>-8.3268336120390387</v>
      </c>
    </row>
    <row r="913" spans="1:34" x14ac:dyDescent="0.3">
      <c r="A913" s="347">
        <f t="shared" ca="1" si="412"/>
        <v>1E-4</v>
      </c>
      <c r="B913" s="304">
        <f t="shared" ca="1" si="413"/>
        <v>16.15679999999983</v>
      </c>
      <c r="D913" s="306">
        <f t="shared" ca="1" si="414"/>
        <v>-0.59162252038179663</v>
      </c>
      <c r="E913" s="307">
        <f t="shared" ca="1" si="415"/>
        <v>-1.5041595482033188</v>
      </c>
      <c r="F913" s="304">
        <f t="shared" ca="1" si="416"/>
        <v>1.61632705634538</v>
      </c>
      <c r="G913" s="306">
        <f t="shared" ca="1" si="417"/>
        <v>3.72063302474124</v>
      </c>
      <c r="H913" s="307">
        <f t="shared" ca="1" si="418"/>
        <v>-52.235274351854756</v>
      </c>
      <c r="I913" s="304">
        <f t="shared" ca="1" si="419"/>
        <v>52.367614006352532</v>
      </c>
      <c r="J913" s="306">
        <f t="shared" ca="1" si="420"/>
        <v>150.09587023194715</v>
      </c>
      <c r="K913" s="307">
        <f t="shared" ca="1" si="421"/>
        <v>-5.788677791831442</v>
      </c>
      <c r="L913" s="304">
        <f t="shared" ca="1" si="406"/>
        <v>150.20745338119264</v>
      </c>
      <c r="M913" s="306">
        <f t="shared" ca="1" si="422"/>
        <v>-1.4996880580917649</v>
      </c>
      <c r="N913" s="304">
        <f t="shared" ca="1" si="423"/>
        <v>-85.925796314828361</v>
      </c>
      <c r="P913" s="310">
        <f t="shared" ca="1" si="424"/>
        <v>23</v>
      </c>
      <c r="Q913" s="304">
        <f t="shared" ca="1" si="425"/>
        <v>0</v>
      </c>
      <c r="R913" s="306">
        <f t="shared" ca="1" si="426"/>
        <v>0</v>
      </c>
      <c r="S913" s="307">
        <f t="shared" ca="1" si="427"/>
        <v>0.4270000000000001</v>
      </c>
      <c r="T913" s="304">
        <f t="shared" ca="1" si="407"/>
        <v>4.1888700000000014</v>
      </c>
      <c r="U913" s="311">
        <f t="shared" ca="1" si="408"/>
        <v>0</v>
      </c>
      <c r="V913" s="306">
        <f t="shared" ca="1" si="409"/>
        <v>1.2257093183302628</v>
      </c>
      <c r="W913" s="304">
        <f t="shared" ca="1" si="410"/>
        <v>3.5556012737117695</v>
      </c>
      <c r="Y913" s="314" t="str">
        <f t="shared" ca="1" si="428"/>
        <v/>
      </c>
      <c r="Z913" s="315" t="str">
        <f t="shared" ca="1" si="429"/>
        <v/>
      </c>
      <c r="AA913" s="316" t="str">
        <f t="shared" ca="1" si="430"/>
        <v/>
      </c>
      <c r="AC913" s="310" t="e">
        <f t="shared" ca="1" si="431"/>
        <v>#N/A</v>
      </c>
      <c r="AD913" s="323" t="e">
        <f t="shared" ca="1" si="432"/>
        <v>#N/A</v>
      </c>
      <c r="AE913" s="324" t="e">
        <f t="shared" ca="1" si="411"/>
        <v>#N/A</v>
      </c>
      <c r="AG913" s="306">
        <f t="shared" ca="1" si="433"/>
        <v>1.4583236080244557</v>
      </c>
      <c r="AH913" s="304">
        <f t="shared" ca="1" si="434"/>
        <v>-8.3268843403355266</v>
      </c>
    </row>
    <row r="914" spans="1:34" x14ac:dyDescent="0.3">
      <c r="A914" s="347">
        <f t="shared" ca="1" si="412"/>
        <v>1E-4</v>
      </c>
      <c r="B914" s="304">
        <f t="shared" ca="1" si="413"/>
        <v>16.15689999999983</v>
      </c>
      <c r="D914" s="306">
        <f t="shared" ca="1" si="414"/>
        <v>-0.59161506961713706</v>
      </c>
      <c r="E914" s="307">
        <f t="shared" ca="1" si="415"/>
        <v>-1.5041081620668582</v>
      </c>
      <c r="F914" s="304">
        <f t="shared" ca="1" si="416"/>
        <v>1.6162765090770304</v>
      </c>
      <c r="G914" s="306">
        <f t="shared" ca="1" si="417"/>
        <v>3.7205738632342782</v>
      </c>
      <c r="H914" s="307">
        <f t="shared" ca="1" si="418"/>
        <v>-52.235424762670959</v>
      </c>
      <c r="I914" s="304">
        <f t="shared" ca="1" si="419"/>
        <v>52.3677598337798</v>
      </c>
      <c r="J914" s="306">
        <f t="shared" ca="1" si="420"/>
        <v>150.09587023194715</v>
      </c>
      <c r="K914" s="307">
        <f t="shared" ca="1" si="421"/>
        <v>-5.793901326787168</v>
      </c>
      <c r="L914" s="304">
        <f t="shared" ca="1" si="406"/>
        <v>150.2076547758804</v>
      </c>
      <c r="M914" s="306">
        <f t="shared" ca="1" si="422"/>
        <v>-1.4996893890335528</v>
      </c>
      <c r="N914" s="304">
        <f t="shared" ca="1" si="423"/>
        <v>-85.925872572175578</v>
      </c>
      <c r="P914" s="310">
        <f t="shared" ca="1" si="424"/>
        <v>23</v>
      </c>
      <c r="Q914" s="304">
        <f t="shared" ca="1" si="425"/>
        <v>0</v>
      </c>
      <c r="R914" s="306">
        <f t="shared" ca="1" si="426"/>
        <v>0</v>
      </c>
      <c r="S914" s="307">
        <f t="shared" ca="1" si="427"/>
        <v>0.4270000000000001</v>
      </c>
      <c r="T914" s="304">
        <f t="shared" ca="1" si="407"/>
        <v>4.1888700000000014</v>
      </c>
      <c r="U914" s="311">
        <f t="shared" ca="1" si="408"/>
        <v>0</v>
      </c>
      <c r="V914" s="306">
        <f t="shared" ca="1" si="409"/>
        <v>1.2257099585840305</v>
      </c>
      <c r="W914" s="304">
        <f t="shared" ca="1" si="410"/>
        <v>3.5556229335061769</v>
      </c>
      <c r="Y914" s="314" t="str">
        <f t="shared" ca="1" si="428"/>
        <v/>
      </c>
      <c r="Z914" s="315" t="str">
        <f t="shared" ca="1" si="429"/>
        <v/>
      </c>
      <c r="AA914" s="316" t="str">
        <f t="shared" ca="1" si="430"/>
        <v/>
      </c>
      <c r="AC914" s="310" t="e">
        <f t="shared" ca="1" si="431"/>
        <v>#N/A</v>
      </c>
      <c r="AD914" s="323" t="e">
        <f t="shared" ca="1" si="432"/>
        <v>#N/A</v>
      </c>
      <c r="AE914" s="324" t="e">
        <f t="shared" ca="1" si="411"/>
        <v>#N/A</v>
      </c>
      <c r="AG914" s="306">
        <f t="shared" ca="1" si="433"/>
        <v>1.4582738087935514</v>
      </c>
      <c r="AH914" s="304">
        <f t="shared" ca="1" si="434"/>
        <v>-8.3269350672406759</v>
      </c>
    </row>
    <row r="915" spans="1:34" x14ac:dyDescent="0.3">
      <c r="A915" s="347">
        <f t="shared" ca="1" si="412"/>
        <v>1E-4</v>
      </c>
      <c r="B915" s="304">
        <f t="shared" ca="1" si="413"/>
        <v>16.156999999999829</v>
      </c>
      <c r="D915" s="306">
        <f t="shared" ca="1" si="414"/>
        <v>-0.59160761885524105</v>
      </c>
      <c r="E915" s="307">
        <f t="shared" ca="1" si="415"/>
        <v>-1.5040567773402227</v>
      </c>
      <c r="F915" s="304">
        <f t="shared" ca="1" si="416"/>
        <v>1.6162259632089271</v>
      </c>
      <c r="G915" s="306">
        <f t="shared" ca="1" si="417"/>
        <v>3.7205147024723928</v>
      </c>
      <c r="H915" s="307">
        <f t="shared" ca="1" si="418"/>
        <v>-52.235575168348696</v>
      </c>
      <c r="I915" s="304">
        <f t="shared" ca="1" si="419"/>
        <v>52.367905656227265</v>
      </c>
      <c r="J915" s="306">
        <f t="shared" ca="1" si="420"/>
        <v>150.09587023194715</v>
      </c>
      <c r="K915" s="307">
        <f t="shared" ca="1" si="421"/>
        <v>-5.7991248767837194</v>
      </c>
      <c r="L915" s="304">
        <f t="shared" ca="1" si="406"/>
        <v>150.20785635252921</v>
      </c>
      <c r="M915" s="306">
        <f t="shared" ca="1" si="422"/>
        <v>-1.4996907199467651</v>
      </c>
      <c r="N915" s="304">
        <f t="shared" ca="1" si="423"/>
        <v>-85.925948827885534</v>
      </c>
      <c r="P915" s="310">
        <f t="shared" ca="1" si="424"/>
        <v>23</v>
      </c>
      <c r="Q915" s="304">
        <f t="shared" ca="1" si="425"/>
        <v>0</v>
      </c>
      <c r="R915" s="306">
        <f t="shared" ca="1" si="426"/>
        <v>0</v>
      </c>
      <c r="S915" s="307">
        <f t="shared" ca="1" si="427"/>
        <v>0.4270000000000001</v>
      </c>
      <c r="T915" s="304">
        <f t="shared" ca="1" si="407"/>
        <v>4.1888700000000014</v>
      </c>
      <c r="U915" s="311">
        <f t="shared" ca="1" si="408"/>
        <v>0</v>
      </c>
      <c r="V915" s="306">
        <f t="shared" ca="1" si="409"/>
        <v>1.2257105988399766</v>
      </c>
      <c r="W915" s="304">
        <f t="shared" ca="1" si="410"/>
        <v>3.5556445927065039</v>
      </c>
      <c r="Y915" s="314" t="str">
        <f t="shared" ca="1" si="428"/>
        <v/>
      </c>
      <c r="Z915" s="315" t="str">
        <f t="shared" ca="1" si="429"/>
        <v/>
      </c>
      <c r="AA915" s="316" t="str">
        <f t="shared" ca="1" si="430"/>
        <v/>
      </c>
      <c r="AC915" s="310" t="e">
        <f t="shared" ca="1" si="431"/>
        <v>#N/A</v>
      </c>
      <c r="AD915" s="323" t="e">
        <f t="shared" ca="1" si="432"/>
        <v>#N/A</v>
      </c>
      <c r="AE915" s="324" t="e">
        <f t="shared" ca="1" si="411"/>
        <v>#N/A</v>
      </c>
      <c r="AG915" s="306">
        <f t="shared" ca="1" si="433"/>
        <v>1.4582240109167124</v>
      </c>
      <c r="AH915" s="304">
        <f t="shared" ca="1" si="434"/>
        <v>-8.3269857927545115</v>
      </c>
    </row>
    <row r="916" spans="1:34" x14ac:dyDescent="0.3">
      <c r="A916" s="347">
        <f t="shared" ca="1" si="412"/>
        <v>1E-4</v>
      </c>
      <c r="B916" s="304">
        <f t="shared" ca="1" si="413"/>
        <v>16.157099999999829</v>
      </c>
      <c r="D916" s="306">
        <f t="shared" ca="1" si="414"/>
        <v>-0.59160016809611615</v>
      </c>
      <c r="E916" s="307">
        <f t="shared" ca="1" si="415"/>
        <v>-1.5040053940233857</v>
      </c>
      <c r="F916" s="304">
        <f t="shared" ca="1" si="416"/>
        <v>1.6161754187410451</v>
      </c>
      <c r="G916" s="306">
        <f t="shared" ca="1" si="417"/>
        <v>3.7204555424555834</v>
      </c>
      <c r="H916" s="307">
        <f t="shared" ca="1" si="418"/>
        <v>-52.2357255688881</v>
      </c>
      <c r="I916" s="304">
        <f t="shared" ca="1" si="419"/>
        <v>52.36805147369509</v>
      </c>
      <c r="J916" s="306">
        <f t="shared" ca="1" si="420"/>
        <v>150.09587023194715</v>
      </c>
      <c r="K916" s="307">
        <f t="shared" ca="1" si="421"/>
        <v>-5.8043484418205811</v>
      </c>
      <c r="L916" s="304">
        <f t="shared" ca="1" si="406"/>
        <v>150.20805811113991</v>
      </c>
      <c r="M916" s="306">
        <f t="shared" ca="1" si="422"/>
        <v>-1.4996920508314029</v>
      </c>
      <c r="N916" s="304">
        <f t="shared" ca="1" si="423"/>
        <v>-85.926025081958301</v>
      </c>
      <c r="P916" s="310">
        <f t="shared" ca="1" si="424"/>
        <v>23</v>
      </c>
      <c r="Q916" s="304">
        <f t="shared" ca="1" si="425"/>
        <v>0</v>
      </c>
      <c r="R916" s="306">
        <f t="shared" ca="1" si="426"/>
        <v>0</v>
      </c>
      <c r="S916" s="307">
        <f t="shared" ca="1" si="427"/>
        <v>0.4270000000000001</v>
      </c>
      <c r="T916" s="304">
        <f t="shared" ca="1" si="407"/>
        <v>4.1888700000000014</v>
      </c>
      <c r="U916" s="311">
        <f t="shared" ca="1" si="408"/>
        <v>0</v>
      </c>
      <c r="V916" s="306">
        <f t="shared" ca="1" si="409"/>
        <v>1.2257112390981004</v>
      </c>
      <c r="W916" s="304">
        <f t="shared" ca="1" si="410"/>
        <v>3.5556662513127639</v>
      </c>
      <c r="Y916" s="314" t="str">
        <f t="shared" ca="1" si="428"/>
        <v/>
      </c>
      <c r="Z916" s="315" t="str">
        <f t="shared" ca="1" si="429"/>
        <v/>
      </c>
      <c r="AA916" s="316" t="str">
        <f t="shared" ca="1" si="430"/>
        <v/>
      </c>
      <c r="AC916" s="310" t="e">
        <f t="shared" ca="1" si="431"/>
        <v>#N/A</v>
      </c>
      <c r="AD916" s="323" t="e">
        <f t="shared" ca="1" si="432"/>
        <v>#N/A</v>
      </c>
      <c r="AE916" s="324" t="e">
        <f t="shared" ca="1" si="411"/>
        <v>#N/A</v>
      </c>
      <c r="AG916" s="306">
        <f t="shared" ca="1" si="433"/>
        <v>1.458174214393912</v>
      </c>
      <c r="AH916" s="304">
        <f t="shared" ca="1" si="434"/>
        <v>-8.3270365168770564</v>
      </c>
    </row>
    <row r="917" spans="1:34" x14ac:dyDescent="0.3">
      <c r="A917" s="347">
        <f t="shared" ca="1" si="412"/>
        <v>1E-4</v>
      </c>
      <c r="B917" s="304">
        <f t="shared" ca="1" si="413"/>
        <v>16.157199999999829</v>
      </c>
      <c r="D917" s="306">
        <f t="shared" ca="1" si="414"/>
        <v>-0.59159271733976571</v>
      </c>
      <c r="E917" s="307">
        <f t="shared" ca="1" si="415"/>
        <v>-1.5039540121163153</v>
      </c>
      <c r="F917" s="304">
        <f t="shared" ca="1" si="416"/>
        <v>1.6161248756733526</v>
      </c>
      <c r="G917" s="306">
        <f t="shared" ca="1" si="417"/>
        <v>3.7203963831838496</v>
      </c>
      <c r="H917" s="307">
        <f t="shared" ca="1" si="418"/>
        <v>-52.235875964289313</v>
      </c>
      <c r="I917" s="304">
        <f t="shared" ca="1" si="419"/>
        <v>52.368197286183388</v>
      </c>
      <c r="J917" s="306">
        <f t="shared" ca="1" si="420"/>
        <v>150.09587023194715</v>
      </c>
      <c r="K917" s="307">
        <f t="shared" ca="1" si="421"/>
        <v>-5.8095720218972398</v>
      </c>
      <c r="L917" s="304">
        <f t="shared" ca="1" si="406"/>
        <v>150.2082600517133</v>
      </c>
      <c r="M917" s="306">
        <f t="shared" ca="1" si="422"/>
        <v>-1.4996933816874667</v>
      </c>
      <c r="N917" s="304">
        <f t="shared" ca="1" si="423"/>
        <v>-85.926101334393906</v>
      </c>
      <c r="P917" s="310">
        <f t="shared" ca="1" si="424"/>
        <v>23</v>
      </c>
      <c r="Q917" s="304">
        <f t="shared" ca="1" si="425"/>
        <v>0</v>
      </c>
      <c r="R917" s="306">
        <f t="shared" ca="1" si="426"/>
        <v>0</v>
      </c>
      <c r="S917" s="307">
        <f t="shared" ca="1" si="427"/>
        <v>0.4270000000000001</v>
      </c>
      <c r="T917" s="304">
        <f t="shared" ca="1" si="407"/>
        <v>4.1888700000000014</v>
      </c>
      <c r="U917" s="311">
        <f t="shared" ca="1" si="408"/>
        <v>0</v>
      </c>
      <c r="V917" s="306">
        <f t="shared" ca="1" si="409"/>
        <v>1.225711879358403</v>
      </c>
      <c r="W917" s="304">
        <f t="shared" ca="1" si="410"/>
        <v>3.5556879093249698</v>
      </c>
      <c r="Y917" s="314" t="str">
        <f t="shared" ca="1" si="428"/>
        <v/>
      </c>
      <c r="Z917" s="315" t="str">
        <f t="shared" ca="1" si="429"/>
        <v/>
      </c>
      <c r="AA917" s="316" t="str">
        <f t="shared" ca="1" si="430"/>
        <v/>
      </c>
      <c r="AC917" s="310" t="e">
        <f t="shared" ca="1" si="431"/>
        <v>#N/A</v>
      </c>
      <c r="AD917" s="323" t="e">
        <f t="shared" ca="1" si="432"/>
        <v>#N/A</v>
      </c>
      <c r="AE917" s="324" t="e">
        <f t="shared" ca="1" si="411"/>
        <v>#N/A</v>
      </c>
      <c r="AG917" s="306">
        <f t="shared" ca="1" si="433"/>
        <v>1.4581244192251219</v>
      </c>
      <c r="AH917" s="304">
        <f t="shared" ca="1" si="434"/>
        <v>-8.3270872396083444</v>
      </c>
    </row>
    <row r="918" spans="1:34" x14ac:dyDescent="0.3">
      <c r="A918" s="347">
        <f t="shared" ca="1" si="412"/>
        <v>1E-4</v>
      </c>
      <c r="B918" s="304">
        <f t="shared" ca="1" si="413"/>
        <v>16.157299999999829</v>
      </c>
      <c r="D918" s="306">
        <f t="shared" ca="1" si="414"/>
        <v>-0.59158526658619792</v>
      </c>
      <c r="E918" s="307">
        <f t="shared" ca="1" si="415"/>
        <v>-1.5039026316189794</v>
      </c>
      <c r="F918" s="304">
        <f t="shared" ca="1" si="416"/>
        <v>1.6160743340058199</v>
      </c>
      <c r="G918" s="306">
        <f t="shared" ca="1" si="417"/>
        <v>3.7203372246571909</v>
      </c>
      <c r="H918" s="307">
        <f t="shared" ca="1" si="418"/>
        <v>-52.236026354552479</v>
      </c>
      <c r="I918" s="304">
        <f t="shared" ca="1" si="419"/>
        <v>52.36834309369231</v>
      </c>
      <c r="J918" s="306">
        <f t="shared" ca="1" si="420"/>
        <v>150.09587023194715</v>
      </c>
      <c r="K918" s="307">
        <f t="shared" ca="1" si="421"/>
        <v>-5.814795617013182</v>
      </c>
      <c r="L918" s="304">
        <f t="shared" ca="1" si="406"/>
        <v>150.2084621742502</v>
      </c>
      <c r="M918" s="306">
        <f t="shared" ca="1" si="422"/>
        <v>-1.4996947125149578</v>
      </c>
      <c r="N918" s="304">
        <f t="shared" ca="1" si="423"/>
        <v>-85.926177585192406</v>
      </c>
      <c r="P918" s="310">
        <f t="shared" ca="1" si="424"/>
        <v>23</v>
      </c>
      <c r="Q918" s="304">
        <f t="shared" ca="1" si="425"/>
        <v>0</v>
      </c>
      <c r="R918" s="306">
        <f t="shared" ca="1" si="426"/>
        <v>0</v>
      </c>
      <c r="S918" s="307">
        <f t="shared" ca="1" si="427"/>
        <v>0.4270000000000001</v>
      </c>
      <c r="T918" s="304">
        <f t="shared" ca="1" si="407"/>
        <v>4.1888700000000014</v>
      </c>
      <c r="U918" s="311">
        <f t="shared" ca="1" si="408"/>
        <v>0</v>
      </c>
      <c r="V918" s="306">
        <f t="shared" ca="1" si="409"/>
        <v>1.2257125196208829</v>
      </c>
      <c r="W918" s="304">
        <f t="shared" ca="1" si="410"/>
        <v>3.5557095667431304</v>
      </c>
      <c r="Y918" s="314" t="str">
        <f t="shared" ca="1" si="428"/>
        <v/>
      </c>
      <c r="Z918" s="315" t="str">
        <f t="shared" ca="1" si="429"/>
        <v/>
      </c>
      <c r="AA918" s="316" t="str">
        <f t="shared" ca="1" si="430"/>
        <v/>
      </c>
      <c r="AC918" s="310" t="e">
        <f t="shared" ca="1" si="431"/>
        <v>#N/A</v>
      </c>
      <c r="AD918" s="323" t="e">
        <f t="shared" ca="1" si="432"/>
        <v>#N/A</v>
      </c>
      <c r="AE918" s="324" t="e">
        <f t="shared" ca="1" si="411"/>
        <v>#N/A</v>
      </c>
      <c r="AG918" s="306">
        <f t="shared" ca="1" si="433"/>
        <v>1.4580746254103119</v>
      </c>
      <c r="AH918" s="304">
        <f t="shared" ca="1" si="434"/>
        <v>-8.3271379609484057</v>
      </c>
    </row>
    <row r="919" spans="1:34" x14ac:dyDescent="0.3">
      <c r="A919" s="347">
        <f t="shared" ca="1" si="412"/>
        <v>1E-4</v>
      </c>
      <c r="B919" s="304">
        <f t="shared" ca="1" si="413"/>
        <v>16.157399999999829</v>
      </c>
      <c r="D919" s="306">
        <f t="shared" ca="1" si="414"/>
        <v>-0.59157781583541313</v>
      </c>
      <c r="E919" s="307">
        <f t="shared" ca="1" si="415"/>
        <v>-1.5038512525313621</v>
      </c>
      <c r="F919" s="304">
        <f t="shared" ca="1" si="416"/>
        <v>1.616023793738429</v>
      </c>
      <c r="G919" s="306">
        <f t="shared" ca="1" si="417"/>
        <v>3.7202780668756072</v>
      </c>
      <c r="H919" s="307">
        <f t="shared" ca="1" si="418"/>
        <v>-52.236176739677731</v>
      </c>
      <c r="I919" s="304">
        <f t="shared" ca="1" si="419"/>
        <v>52.368488896221976</v>
      </c>
      <c r="J919" s="306">
        <f t="shared" ca="1" si="420"/>
        <v>150.09587023194715</v>
      </c>
      <c r="K919" s="307">
        <f t="shared" ca="1" si="421"/>
        <v>-5.8200192271678937</v>
      </c>
      <c r="L919" s="304">
        <f t="shared" ca="1" si="406"/>
        <v>150.20866447875142</v>
      </c>
      <c r="M919" s="306">
        <f t="shared" ca="1" si="422"/>
        <v>-1.4996960433138764</v>
      </c>
      <c r="N919" s="304">
        <f t="shared" ca="1" si="423"/>
        <v>-85.926253834353815</v>
      </c>
      <c r="P919" s="310">
        <f t="shared" ca="1" si="424"/>
        <v>23</v>
      </c>
      <c r="Q919" s="304">
        <f t="shared" ca="1" si="425"/>
        <v>0</v>
      </c>
      <c r="R919" s="306">
        <f t="shared" ca="1" si="426"/>
        <v>0</v>
      </c>
      <c r="S919" s="307">
        <f t="shared" ca="1" si="427"/>
        <v>0.4270000000000001</v>
      </c>
      <c r="T919" s="304">
        <f t="shared" ca="1" si="407"/>
        <v>4.1888700000000014</v>
      </c>
      <c r="U919" s="311">
        <f t="shared" ca="1" si="408"/>
        <v>0</v>
      </c>
      <c r="V919" s="306">
        <f t="shared" ca="1" si="409"/>
        <v>1.2257131598855406</v>
      </c>
      <c r="W919" s="304">
        <f t="shared" ca="1" si="410"/>
        <v>3.5557312235672565</v>
      </c>
      <c r="Y919" s="314" t="str">
        <f t="shared" ca="1" si="428"/>
        <v/>
      </c>
      <c r="Z919" s="315" t="str">
        <f t="shared" ca="1" si="429"/>
        <v/>
      </c>
      <c r="AA919" s="316" t="str">
        <f t="shared" ca="1" si="430"/>
        <v/>
      </c>
      <c r="AC919" s="310" t="e">
        <f t="shared" ca="1" si="431"/>
        <v>#N/A</v>
      </c>
      <c r="AD919" s="323" t="e">
        <f t="shared" ca="1" si="432"/>
        <v>#N/A</v>
      </c>
      <c r="AE919" s="324" t="e">
        <f t="shared" ca="1" si="411"/>
        <v>#N/A</v>
      </c>
      <c r="AG919" s="306">
        <f t="shared" ca="1" si="433"/>
        <v>1.4580248329494694</v>
      </c>
      <c r="AH919" s="304">
        <f t="shared" ca="1" si="434"/>
        <v>-8.3271886808972582</v>
      </c>
    </row>
    <row r="920" spans="1:34" x14ac:dyDescent="0.3">
      <c r="A920" s="347">
        <f t="shared" ca="1" si="412"/>
        <v>1E-4</v>
      </c>
      <c r="B920" s="304">
        <f t="shared" ca="1" si="413"/>
        <v>16.157499999999828</v>
      </c>
      <c r="D920" s="306">
        <f t="shared" ca="1" si="414"/>
        <v>-0.59157036508742167</v>
      </c>
      <c r="E920" s="307">
        <f t="shared" ca="1" si="415"/>
        <v>-1.5037998748534314</v>
      </c>
      <c r="F920" s="304">
        <f t="shared" ca="1" si="416"/>
        <v>1.6159732548711507</v>
      </c>
      <c r="G920" s="306">
        <f t="shared" ca="1" si="417"/>
        <v>3.7202189098390983</v>
      </c>
      <c r="H920" s="307">
        <f t="shared" ca="1" si="418"/>
        <v>-52.236327119665219</v>
      </c>
      <c r="I920" s="304">
        <f t="shared" ca="1" si="419"/>
        <v>52.368634693772542</v>
      </c>
      <c r="J920" s="306">
        <f t="shared" ca="1" si="420"/>
        <v>150.09587023194715</v>
      </c>
      <c r="K920" s="307">
        <f t="shared" ca="1" si="421"/>
        <v>-5.8252428523608604</v>
      </c>
      <c r="L920" s="304">
        <f t="shared" ca="1" si="406"/>
        <v>150.20886696521779</v>
      </c>
      <c r="M920" s="306">
        <f t="shared" ca="1" si="422"/>
        <v>-1.4996973740842239</v>
      </c>
      <c r="N920" s="304">
        <f t="shared" ca="1" si="423"/>
        <v>-85.926330081878234</v>
      </c>
      <c r="P920" s="310">
        <f t="shared" ca="1" si="424"/>
        <v>23</v>
      </c>
      <c r="Q920" s="304">
        <f t="shared" ca="1" si="425"/>
        <v>0</v>
      </c>
      <c r="R920" s="306">
        <f t="shared" ca="1" si="426"/>
        <v>0</v>
      </c>
      <c r="S920" s="307">
        <f t="shared" ca="1" si="427"/>
        <v>0.4270000000000001</v>
      </c>
      <c r="T920" s="304">
        <f t="shared" ca="1" si="407"/>
        <v>4.1888700000000014</v>
      </c>
      <c r="U920" s="311">
        <f t="shared" ca="1" si="408"/>
        <v>0</v>
      </c>
      <c r="V920" s="306">
        <f t="shared" ca="1" si="409"/>
        <v>1.2257138001523757</v>
      </c>
      <c r="W920" s="304">
        <f t="shared" ca="1" si="410"/>
        <v>3.5557528797973621</v>
      </c>
      <c r="Y920" s="314" t="str">
        <f t="shared" ca="1" si="428"/>
        <v/>
      </c>
      <c r="Z920" s="315" t="str">
        <f t="shared" ca="1" si="429"/>
        <v/>
      </c>
      <c r="AA920" s="316" t="str">
        <f t="shared" ca="1" si="430"/>
        <v/>
      </c>
      <c r="AC920" s="310" t="e">
        <f t="shared" ca="1" si="431"/>
        <v>#N/A</v>
      </c>
      <c r="AD920" s="323" t="e">
        <f t="shared" ca="1" si="432"/>
        <v>#N/A</v>
      </c>
      <c r="AE920" s="324" t="e">
        <f t="shared" ca="1" si="411"/>
        <v>#N/A</v>
      </c>
      <c r="AG920" s="306">
        <f t="shared" ca="1" si="433"/>
        <v>1.457975041842559</v>
      </c>
      <c r="AH920" s="304">
        <f t="shared" ca="1" si="434"/>
        <v>-8.3272393994549319</v>
      </c>
    </row>
    <row r="921" spans="1:34" x14ac:dyDescent="0.3">
      <c r="A921" s="347">
        <f t="shared" ca="1" si="412"/>
        <v>1E-4</v>
      </c>
      <c r="B921" s="304">
        <f t="shared" ca="1" si="413"/>
        <v>16.157599999999828</v>
      </c>
      <c r="D921" s="306">
        <f t="shared" ca="1" si="414"/>
        <v>-0.59156291434222419</v>
      </c>
      <c r="E921" s="307">
        <f t="shared" ca="1" si="415"/>
        <v>-1.5037484985851588</v>
      </c>
      <c r="F921" s="304">
        <f t="shared" ca="1" si="416"/>
        <v>1.6159227174039559</v>
      </c>
      <c r="G921" s="306">
        <f t="shared" ca="1" si="417"/>
        <v>3.720159753547664</v>
      </c>
      <c r="H921" s="307">
        <f t="shared" ca="1" si="418"/>
        <v>-52.236477494515078</v>
      </c>
      <c r="I921" s="304">
        <f t="shared" ca="1" si="419"/>
        <v>52.368780486344114</v>
      </c>
      <c r="J921" s="306">
        <f t="shared" ca="1" si="420"/>
        <v>150.09587023194715</v>
      </c>
      <c r="K921" s="307">
        <f t="shared" ca="1" si="421"/>
        <v>-5.8304664925915697</v>
      </c>
      <c r="L921" s="304">
        <f t="shared" ca="1" si="406"/>
        <v>150.2090696336501</v>
      </c>
      <c r="M921" s="306">
        <f t="shared" ca="1" si="422"/>
        <v>-1.4996987048260009</v>
      </c>
      <c r="N921" s="304">
        <f t="shared" ca="1" si="423"/>
        <v>-85.926406327765676</v>
      </c>
      <c r="P921" s="310">
        <f t="shared" ca="1" si="424"/>
        <v>23</v>
      </c>
      <c r="Q921" s="304">
        <f t="shared" ca="1" si="425"/>
        <v>0</v>
      </c>
      <c r="R921" s="306">
        <f t="shared" ca="1" si="426"/>
        <v>0</v>
      </c>
      <c r="S921" s="307">
        <f t="shared" ca="1" si="427"/>
        <v>0.4270000000000001</v>
      </c>
      <c r="T921" s="304">
        <f t="shared" ca="1" si="407"/>
        <v>4.1888700000000014</v>
      </c>
      <c r="U921" s="311">
        <f t="shared" ca="1" si="408"/>
        <v>0</v>
      </c>
      <c r="V921" s="306">
        <f t="shared" ca="1" si="409"/>
        <v>1.2257144404213896</v>
      </c>
      <c r="W921" s="304">
        <f t="shared" ca="1" si="410"/>
        <v>3.555774535433458</v>
      </c>
      <c r="Y921" s="314" t="str">
        <f t="shared" ca="1" si="428"/>
        <v/>
      </c>
      <c r="Z921" s="315" t="str">
        <f t="shared" ca="1" si="429"/>
        <v/>
      </c>
      <c r="AA921" s="316" t="str">
        <f t="shared" ca="1" si="430"/>
        <v/>
      </c>
      <c r="AC921" s="310" t="e">
        <f t="shared" ca="1" si="431"/>
        <v>#N/A</v>
      </c>
      <c r="AD921" s="323" t="e">
        <f t="shared" ca="1" si="432"/>
        <v>#N/A</v>
      </c>
      <c r="AE921" s="324" t="e">
        <f t="shared" ca="1" si="411"/>
        <v>#N/A</v>
      </c>
      <c r="AG921" s="306">
        <f t="shared" ca="1" si="433"/>
        <v>1.4579252520895594</v>
      </c>
      <c r="AH921" s="304">
        <f t="shared" ca="1" si="434"/>
        <v>-8.3272901166214552</v>
      </c>
    </row>
    <row r="922" spans="1:34" x14ac:dyDescent="0.3">
      <c r="A922" s="347">
        <f t="shared" ca="1" si="412"/>
        <v>1E-4</v>
      </c>
      <c r="B922" s="304">
        <f t="shared" ca="1" si="413"/>
        <v>16.157699999999828</v>
      </c>
      <c r="D922" s="306">
        <f t="shared" ca="1" si="414"/>
        <v>-0.59155546359982702</v>
      </c>
      <c r="E922" s="307">
        <f t="shared" ca="1" si="415"/>
        <v>-1.5036971237265178</v>
      </c>
      <c r="F922" s="304">
        <f t="shared" ca="1" si="416"/>
        <v>1.6158721813368186</v>
      </c>
      <c r="G922" s="306">
        <f t="shared" ca="1" si="417"/>
        <v>3.720100598001304</v>
      </c>
      <c r="H922" s="307">
        <f t="shared" ca="1" si="418"/>
        <v>-52.236627864227451</v>
      </c>
      <c r="I922" s="304">
        <f t="shared" ca="1" si="419"/>
        <v>52.36892627393685</v>
      </c>
      <c r="J922" s="306">
        <f t="shared" ca="1" si="420"/>
        <v>150.09587023194715</v>
      </c>
      <c r="K922" s="307">
        <f t="shared" ca="1" si="421"/>
        <v>-5.8356901478595065</v>
      </c>
      <c r="L922" s="304">
        <f t="shared" ca="1" si="406"/>
        <v>150.20927248404919</v>
      </c>
      <c r="M922" s="306">
        <f t="shared" ca="1" si="422"/>
        <v>-1.4997000355392081</v>
      </c>
      <c r="N922" s="304">
        <f t="shared" ca="1" si="423"/>
        <v>-85.926482572016184</v>
      </c>
      <c r="P922" s="310">
        <f t="shared" ca="1" si="424"/>
        <v>23</v>
      </c>
      <c r="Q922" s="304">
        <f t="shared" ca="1" si="425"/>
        <v>0</v>
      </c>
      <c r="R922" s="306">
        <f t="shared" ca="1" si="426"/>
        <v>0</v>
      </c>
      <c r="S922" s="307">
        <f t="shared" ca="1" si="427"/>
        <v>0.4270000000000001</v>
      </c>
      <c r="T922" s="304">
        <f t="shared" ca="1" si="407"/>
        <v>4.1888700000000014</v>
      </c>
      <c r="U922" s="311">
        <f t="shared" ca="1" si="408"/>
        <v>0</v>
      </c>
      <c r="V922" s="306">
        <f t="shared" ca="1" si="409"/>
        <v>1.2257150806925803</v>
      </c>
      <c r="W922" s="304">
        <f t="shared" ca="1" si="410"/>
        <v>3.5557961904755562</v>
      </c>
      <c r="Y922" s="314" t="str">
        <f t="shared" ca="1" si="428"/>
        <v/>
      </c>
      <c r="Z922" s="315" t="str">
        <f t="shared" ca="1" si="429"/>
        <v/>
      </c>
      <c r="AA922" s="316" t="str">
        <f t="shared" ca="1" si="430"/>
        <v/>
      </c>
      <c r="AC922" s="310" t="e">
        <f t="shared" ca="1" si="431"/>
        <v>#N/A</v>
      </c>
      <c r="AD922" s="323" t="e">
        <f t="shared" ca="1" si="432"/>
        <v>#N/A</v>
      </c>
      <c r="AE922" s="324" t="e">
        <f t="shared" ca="1" si="411"/>
        <v>#N/A</v>
      </c>
      <c r="AG922" s="306">
        <f t="shared" ca="1" si="433"/>
        <v>1.4578754636904439</v>
      </c>
      <c r="AH922" s="304">
        <f t="shared" ca="1" si="434"/>
        <v>-8.327340832396855</v>
      </c>
    </row>
    <row r="923" spans="1:34" x14ac:dyDescent="0.3">
      <c r="A923" s="347">
        <f t="shared" ca="1" si="412"/>
        <v>1E-4</v>
      </c>
      <c r="B923" s="304">
        <f t="shared" ca="1" si="413"/>
        <v>16.157799999999828</v>
      </c>
      <c r="D923" s="306">
        <f t="shared" ca="1" si="414"/>
        <v>-0.59154801286023673</v>
      </c>
      <c r="E923" s="307">
        <f t="shared" ca="1" si="415"/>
        <v>-1.503645750277478</v>
      </c>
      <c r="F923" s="304">
        <f t="shared" ca="1" si="416"/>
        <v>1.6158216466697106</v>
      </c>
      <c r="G923" s="306">
        <f t="shared" ca="1" si="417"/>
        <v>3.7200414432000182</v>
      </c>
      <c r="H923" s="307">
        <f t="shared" ca="1" si="418"/>
        <v>-52.236778228802478</v>
      </c>
      <c r="I923" s="304">
        <f t="shared" ca="1" si="419"/>
        <v>52.369072056550884</v>
      </c>
      <c r="J923" s="306">
        <f t="shared" ca="1" si="420"/>
        <v>150.09587023194715</v>
      </c>
      <c r="K923" s="307">
        <f t="shared" ca="1" si="421"/>
        <v>-5.8409138181641582</v>
      </c>
      <c r="L923" s="304">
        <f t="shared" ca="1" si="406"/>
        <v>150.20947551641586</v>
      </c>
      <c r="M923" s="306">
        <f t="shared" ca="1" si="422"/>
        <v>-1.4997013662238463</v>
      </c>
      <c r="N923" s="304">
        <f t="shared" ca="1" si="423"/>
        <v>-85.926558814629828</v>
      </c>
      <c r="P923" s="310">
        <f t="shared" ca="1" si="424"/>
        <v>23</v>
      </c>
      <c r="Q923" s="304">
        <f t="shared" ca="1" si="425"/>
        <v>0</v>
      </c>
      <c r="R923" s="306">
        <f t="shared" ca="1" si="426"/>
        <v>0</v>
      </c>
      <c r="S923" s="307">
        <f t="shared" ca="1" si="427"/>
        <v>0.4270000000000001</v>
      </c>
      <c r="T923" s="304">
        <f t="shared" ca="1" si="407"/>
        <v>4.1888700000000014</v>
      </c>
      <c r="U923" s="311">
        <f t="shared" ca="1" si="408"/>
        <v>0</v>
      </c>
      <c r="V923" s="306">
        <f t="shared" ca="1" si="409"/>
        <v>1.2257157209659491</v>
      </c>
      <c r="W923" s="304">
        <f t="shared" ca="1" si="410"/>
        <v>3.5558178449236704</v>
      </c>
      <c r="Y923" s="314" t="str">
        <f t="shared" ca="1" si="428"/>
        <v/>
      </c>
      <c r="Z923" s="315" t="str">
        <f t="shared" ca="1" si="429"/>
        <v/>
      </c>
      <c r="AA923" s="316" t="str">
        <f t="shared" ca="1" si="430"/>
        <v/>
      </c>
      <c r="AC923" s="310" t="e">
        <f t="shared" ca="1" si="431"/>
        <v>#N/A</v>
      </c>
      <c r="AD923" s="323" t="e">
        <f t="shared" ca="1" si="432"/>
        <v>#N/A</v>
      </c>
      <c r="AE923" s="324" t="e">
        <f t="shared" ca="1" si="411"/>
        <v>#N/A</v>
      </c>
      <c r="AG923" s="306">
        <f t="shared" ca="1" si="433"/>
        <v>1.4578256766451858</v>
      </c>
      <c r="AH923" s="304">
        <f t="shared" ca="1" si="434"/>
        <v>-8.3273915467811594</v>
      </c>
    </row>
    <row r="924" spans="1:34" x14ac:dyDescent="0.3">
      <c r="A924" s="347">
        <f t="shared" ca="1" si="412"/>
        <v>1E-4</v>
      </c>
      <c r="B924" s="304">
        <f t="shared" ca="1" si="413"/>
        <v>16.157899999999827</v>
      </c>
      <c r="D924" s="306">
        <f t="shared" ca="1" si="414"/>
        <v>-0.59154056212345829</v>
      </c>
      <c r="E924" s="307">
        <f t="shared" ca="1" si="415"/>
        <v>-1.5035943782380059</v>
      </c>
      <c r="F924" s="304">
        <f t="shared" ca="1" si="416"/>
        <v>1.6157711134025985</v>
      </c>
      <c r="G924" s="306">
        <f t="shared" ca="1" si="417"/>
        <v>3.7199822891438057</v>
      </c>
      <c r="H924" s="307">
        <f t="shared" ca="1" si="418"/>
        <v>-52.236928588240303</v>
      </c>
      <c r="I924" s="304">
        <f t="shared" ca="1" si="419"/>
        <v>52.369217834186344</v>
      </c>
      <c r="J924" s="306">
        <f t="shared" ca="1" si="420"/>
        <v>150.09587023194715</v>
      </c>
      <c r="K924" s="307">
        <f t="shared" ca="1" si="421"/>
        <v>-5.8461375035050107</v>
      </c>
      <c r="L924" s="304">
        <f t="shared" ca="1" si="406"/>
        <v>150.20967873075091</v>
      </c>
      <c r="M924" s="306">
        <f t="shared" ca="1" si="422"/>
        <v>-1.4997026968799165</v>
      </c>
      <c r="N924" s="304">
        <f t="shared" ca="1" si="423"/>
        <v>-85.926635055606624</v>
      </c>
      <c r="P924" s="310">
        <f t="shared" ca="1" si="424"/>
        <v>23</v>
      </c>
      <c r="Q924" s="304">
        <f t="shared" ca="1" si="425"/>
        <v>0</v>
      </c>
      <c r="R924" s="306">
        <f t="shared" ca="1" si="426"/>
        <v>0</v>
      </c>
      <c r="S924" s="307">
        <f t="shared" ca="1" si="427"/>
        <v>0.4270000000000001</v>
      </c>
      <c r="T924" s="304">
        <f t="shared" ca="1" si="407"/>
        <v>4.1888700000000014</v>
      </c>
      <c r="U924" s="311">
        <f t="shared" ca="1" si="408"/>
        <v>0</v>
      </c>
      <c r="V924" s="306">
        <f t="shared" ca="1" si="409"/>
        <v>1.2257163612414952</v>
      </c>
      <c r="W924" s="304">
        <f t="shared" ca="1" si="410"/>
        <v>3.5558394987778081</v>
      </c>
      <c r="Y924" s="314" t="str">
        <f t="shared" ca="1" si="428"/>
        <v/>
      </c>
      <c r="Z924" s="315" t="str">
        <f t="shared" ca="1" si="429"/>
        <v/>
      </c>
      <c r="AA924" s="316" t="str">
        <f t="shared" ca="1" si="430"/>
        <v/>
      </c>
      <c r="AC924" s="310" t="e">
        <f t="shared" ca="1" si="431"/>
        <v>#N/A</v>
      </c>
      <c r="AD924" s="323" t="e">
        <f t="shared" ca="1" si="432"/>
        <v>#N/A</v>
      </c>
      <c r="AE924" s="324" t="e">
        <f t="shared" ca="1" si="411"/>
        <v>#N/A</v>
      </c>
      <c r="AG924" s="306">
        <f t="shared" ca="1" si="433"/>
        <v>1.457775890953755</v>
      </c>
      <c r="AH924" s="304">
        <f t="shared" ca="1" si="434"/>
        <v>-8.3274422597744024</v>
      </c>
    </row>
    <row r="925" spans="1:34" x14ac:dyDescent="0.3">
      <c r="A925" s="347">
        <f t="shared" ca="1" si="412"/>
        <v>1E-4</v>
      </c>
      <c r="B925" s="304">
        <f t="shared" ca="1" si="413"/>
        <v>16.157999999999827</v>
      </c>
      <c r="D925" s="306">
        <f t="shared" ca="1" si="414"/>
        <v>-0.59153311138949505</v>
      </c>
      <c r="E925" s="307">
        <f t="shared" ca="1" si="415"/>
        <v>-1.5035430076080871</v>
      </c>
      <c r="F925" s="304">
        <f t="shared" ca="1" si="416"/>
        <v>1.6157205815354674</v>
      </c>
      <c r="G925" s="306">
        <f t="shared" ca="1" si="417"/>
        <v>3.7199231358326665</v>
      </c>
      <c r="H925" s="307">
        <f t="shared" ca="1" si="418"/>
        <v>-52.237078942541061</v>
      </c>
      <c r="I925" s="304">
        <f t="shared" ca="1" si="419"/>
        <v>52.369363606843358</v>
      </c>
      <c r="J925" s="306">
        <f t="shared" ca="1" si="420"/>
        <v>150.09587023194715</v>
      </c>
      <c r="K925" s="307">
        <f t="shared" ca="1" si="421"/>
        <v>-5.8513612038815497</v>
      </c>
      <c r="L925" s="304">
        <f t="shared" ca="1" si="406"/>
        <v>150.20988212705515</v>
      </c>
      <c r="M925" s="306">
        <f t="shared" ca="1" si="422"/>
        <v>-1.4997040275074196</v>
      </c>
      <c r="N925" s="304">
        <f t="shared" ca="1" si="423"/>
        <v>-85.926711294946656</v>
      </c>
      <c r="P925" s="310">
        <f t="shared" ca="1" si="424"/>
        <v>23</v>
      </c>
      <c r="Q925" s="304">
        <f t="shared" ca="1" si="425"/>
        <v>0</v>
      </c>
      <c r="R925" s="306">
        <f t="shared" ca="1" si="426"/>
        <v>0</v>
      </c>
      <c r="S925" s="307">
        <f t="shared" ca="1" si="427"/>
        <v>0.4270000000000001</v>
      </c>
      <c r="T925" s="304">
        <f t="shared" ca="1" si="407"/>
        <v>4.1888700000000014</v>
      </c>
      <c r="U925" s="311">
        <f t="shared" ca="1" si="408"/>
        <v>0</v>
      </c>
      <c r="V925" s="306">
        <f t="shared" ca="1" si="409"/>
        <v>1.2257170015192191</v>
      </c>
      <c r="W925" s="304">
        <f t="shared" ca="1" si="410"/>
        <v>3.5558611520379837</v>
      </c>
      <c r="Y925" s="314" t="str">
        <f t="shared" ca="1" si="428"/>
        <v/>
      </c>
      <c r="Z925" s="315" t="str">
        <f t="shared" ca="1" si="429"/>
        <v/>
      </c>
      <c r="AA925" s="316" t="str">
        <f t="shared" ca="1" si="430"/>
        <v/>
      </c>
      <c r="AC925" s="310" t="e">
        <f t="shared" ca="1" si="431"/>
        <v>#N/A</v>
      </c>
      <c r="AD925" s="323" t="e">
        <f t="shared" ca="1" si="432"/>
        <v>#N/A</v>
      </c>
      <c r="AE925" s="324" t="e">
        <f t="shared" ca="1" si="411"/>
        <v>#N/A</v>
      </c>
      <c r="AG925" s="306">
        <f t="shared" ca="1" si="433"/>
        <v>1.4577261066161338</v>
      </c>
      <c r="AH925" s="304">
        <f t="shared" ca="1" si="434"/>
        <v>-8.3274929713765982</v>
      </c>
    </row>
    <row r="926" spans="1:34" x14ac:dyDescent="0.3">
      <c r="A926" s="347">
        <f t="shared" ca="1" si="412"/>
        <v>1E-4</v>
      </c>
      <c r="B926" s="304">
        <f t="shared" ca="1" si="413"/>
        <v>16.158099999999827</v>
      </c>
      <c r="D926" s="306">
        <f t="shared" ca="1" si="414"/>
        <v>-0.59152566065835233</v>
      </c>
      <c r="E926" s="307">
        <f t="shared" ca="1" si="415"/>
        <v>-1.5034916383876862</v>
      </c>
      <c r="F926" s="304">
        <f t="shared" ca="1" si="416"/>
        <v>1.6156700510682833</v>
      </c>
      <c r="G926" s="306">
        <f t="shared" ca="1" si="417"/>
        <v>3.7198639832666007</v>
      </c>
      <c r="H926" s="307">
        <f t="shared" ca="1" si="418"/>
        <v>-52.237229291704899</v>
      </c>
      <c r="I926" s="304">
        <f t="shared" ca="1" si="419"/>
        <v>52.369509374522082</v>
      </c>
      <c r="J926" s="306">
        <f t="shared" ca="1" si="420"/>
        <v>150.09587023194715</v>
      </c>
      <c r="K926" s="307">
        <f t="shared" ca="1" si="421"/>
        <v>-5.8565849192932617</v>
      </c>
      <c r="L926" s="304">
        <f t="shared" ca="1" si="406"/>
        <v>150.21008570532942</v>
      </c>
      <c r="M926" s="306">
        <f t="shared" ca="1" si="422"/>
        <v>-1.499705358106356</v>
      </c>
      <c r="N926" s="304">
        <f t="shared" ca="1" si="423"/>
        <v>-85.926787532649939</v>
      </c>
      <c r="P926" s="310">
        <f t="shared" ca="1" si="424"/>
        <v>23</v>
      </c>
      <c r="Q926" s="304">
        <f t="shared" ca="1" si="425"/>
        <v>0</v>
      </c>
      <c r="R926" s="306">
        <f t="shared" ca="1" si="426"/>
        <v>0</v>
      </c>
      <c r="S926" s="307">
        <f t="shared" ca="1" si="427"/>
        <v>0.4270000000000001</v>
      </c>
      <c r="T926" s="304">
        <f t="shared" ca="1" si="407"/>
        <v>4.1888700000000014</v>
      </c>
      <c r="U926" s="311">
        <f t="shared" ca="1" si="408"/>
        <v>0</v>
      </c>
      <c r="V926" s="306">
        <f t="shared" ca="1" si="409"/>
        <v>1.2257176417991205</v>
      </c>
      <c r="W926" s="304">
        <f t="shared" ca="1" si="410"/>
        <v>3.5558828047042086</v>
      </c>
      <c r="Y926" s="314" t="str">
        <f t="shared" ca="1" si="428"/>
        <v/>
      </c>
      <c r="Z926" s="315" t="str">
        <f t="shared" ca="1" si="429"/>
        <v/>
      </c>
      <c r="AA926" s="316" t="str">
        <f t="shared" ca="1" si="430"/>
        <v/>
      </c>
      <c r="AC926" s="310" t="e">
        <f t="shared" ca="1" si="431"/>
        <v>#N/A</v>
      </c>
      <c r="AD926" s="323" t="e">
        <f t="shared" ca="1" si="432"/>
        <v>#N/A</v>
      </c>
      <c r="AE926" s="324" t="e">
        <f t="shared" ca="1" si="411"/>
        <v>#N/A</v>
      </c>
      <c r="AG926" s="306">
        <f t="shared" ca="1" si="433"/>
        <v>1.4576763236322936</v>
      </c>
      <c r="AH926" s="304">
        <f t="shared" ca="1" si="434"/>
        <v>-8.3275436815877821</v>
      </c>
    </row>
    <row r="927" spans="1:34" x14ac:dyDescent="0.3">
      <c r="A927" s="347">
        <f t="shared" ca="1" si="412"/>
        <v>1E-4</v>
      </c>
      <c r="B927" s="304">
        <f t="shared" ca="1" si="413"/>
        <v>16.158199999999827</v>
      </c>
      <c r="D927" s="306">
        <f t="shared" ca="1" si="414"/>
        <v>-0.59151820993003812</v>
      </c>
      <c r="E927" s="307">
        <f t="shared" ca="1" si="415"/>
        <v>-1.5034402705767747</v>
      </c>
      <c r="F927" s="304">
        <f t="shared" ca="1" si="416"/>
        <v>1.6156195220010192</v>
      </c>
      <c r="G927" s="306">
        <f t="shared" ca="1" si="417"/>
        <v>3.7198048314456078</v>
      </c>
      <c r="H927" s="307">
        <f t="shared" ca="1" si="418"/>
        <v>-52.237379635731955</v>
      </c>
      <c r="I927" s="304">
        <f t="shared" ca="1" si="419"/>
        <v>52.369655137222644</v>
      </c>
      <c r="J927" s="306">
        <f t="shared" ca="1" si="420"/>
        <v>150.09587023194715</v>
      </c>
      <c r="K927" s="307">
        <f t="shared" ca="1" si="421"/>
        <v>-5.8618086497396336</v>
      </c>
      <c r="L927" s="304">
        <f t="shared" ca="1" si="406"/>
        <v>150.21028946557448</v>
      </c>
      <c r="M927" s="306">
        <f t="shared" ca="1" si="422"/>
        <v>-1.499706688676727</v>
      </c>
      <c r="N927" s="304">
        <f t="shared" ca="1" si="423"/>
        <v>-85.926863768716544</v>
      </c>
      <c r="P927" s="310">
        <f t="shared" ca="1" si="424"/>
        <v>23</v>
      </c>
      <c r="Q927" s="304">
        <f t="shared" ca="1" si="425"/>
        <v>0</v>
      </c>
      <c r="R927" s="306">
        <f t="shared" ca="1" si="426"/>
        <v>0</v>
      </c>
      <c r="S927" s="307">
        <f t="shared" ca="1" si="427"/>
        <v>0.4270000000000001</v>
      </c>
      <c r="T927" s="304">
        <f t="shared" ca="1" si="407"/>
        <v>4.1888700000000014</v>
      </c>
      <c r="U927" s="311">
        <f t="shared" ca="1" si="408"/>
        <v>0</v>
      </c>
      <c r="V927" s="306">
        <f t="shared" ca="1" si="409"/>
        <v>1.2257182820811992</v>
      </c>
      <c r="W927" s="304">
        <f t="shared" ca="1" si="410"/>
        <v>3.5559044567764961</v>
      </c>
      <c r="Y927" s="314" t="str">
        <f t="shared" ca="1" si="428"/>
        <v/>
      </c>
      <c r="Z927" s="315" t="str">
        <f t="shared" ca="1" si="429"/>
        <v/>
      </c>
      <c r="AA927" s="316" t="str">
        <f t="shared" ca="1" si="430"/>
        <v/>
      </c>
      <c r="AC927" s="310" t="e">
        <f t="shared" ca="1" si="431"/>
        <v>#N/A</v>
      </c>
      <c r="AD927" s="323" t="e">
        <f t="shared" ca="1" si="432"/>
        <v>#N/A</v>
      </c>
      <c r="AE927" s="324" t="e">
        <f t="shared" ca="1" si="411"/>
        <v>#N/A</v>
      </c>
      <c r="AG927" s="306">
        <f t="shared" ca="1" si="433"/>
        <v>1.4576265420022079</v>
      </c>
      <c r="AH927" s="304">
        <f t="shared" ca="1" si="434"/>
        <v>-8.327594390407981</v>
      </c>
    </row>
    <row r="928" spans="1:34" x14ac:dyDescent="0.3">
      <c r="A928" s="347">
        <f t="shared" ca="1" si="412"/>
        <v>1E-4</v>
      </c>
      <c r="B928" s="304">
        <f t="shared" ca="1" si="413"/>
        <v>16.158299999999826</v>
      </c>
      <c r="D928" s="306">
        <f t="shared" ca="1" si="414"/>
        <v>-0.59151075920455354</v>
      </c>
      <c r="E928" s="307">
        <f t="shared" ca="1" si="415"/>
        <v>-1.5033889041753259</v>
      </c>
      <c r="F928" s="304">
        <f t="shared" ca="1" si="416"/>
        <v>1.6155689943336478</v>
      </c>
      <c r="G928" s="306">
        <f t="shared" ca="1" si="417"/>
        <v>3.7197456803696873</v>
      </c>
      <c r="H928" s="307">
        <f t="shared" ca="1" si="418"/>
        <v>-52.237529974622369</v>
      </c>
      <c r="I928" s="304">
        <f t="shared" ca="1" si="419"/>
        <v>52.369800894945165</v>
      </c>
      <c r="J928" s="306">
        <f t="shared" ca="1" si="420"/>
        <v>150.09587023194715</v>
      </c>
      <c r="K928" s="307">
        <f t="shared" ca="1" si="421"/>
        <v>-5.8670323952201509</v>
      </c>
      <c r="L928" s="304">
        <f t="shared" ca="1" si="406"/>
        <v>150.21049340779118</v>
      </c>
      <c r="M928" s="306">
        <f t="shared" ca="1" si="422"/>
        <v>-1.499708019218533</v>
      </c>
      <c r="N928" s="304">
        <f t="shared" ca="1" si="423"/>
        <v>-85.926940003146498</v>
      </c>
      <c r="P928" s="310">
        <f t="shared" ca="1" si="424"/>
        <v>23</v>
      </c>
      <c r="Q928" s="304">
        <f t="shared" ca="1" si="425"/>
        <v>0</v>
      </c>
      <c r="R928" s="306">
        <f t="shared" ca="1" si="426"/>
        <v>0</v>
      </c>
      <c r="S928" s="307">
        <f t="shared" ca="1" si="427"/>
        <v>0.4270000000000001</v>
      </c>
      <c r="T928" s="304">
        <f t="shared" ca="1" si="407"/>
        <v>4.1888700000000014</v>
      </c>
      <c r="U928" s="311">
        <f t="shared" ca="1" si="408"/>
        <v>0</v>
      </c>
      <c r="V928" s="306">
        <f t="shared" ca="1" si="409"/>
        <v>1.225718922365455</v>
      </c>
      <c r="W928" s="304">
        <f t="shared" ca="1" si="410"/>
        <v>3.5559261082548534</v>
      </c>
      <c r="Y928" s="314" t="str">
        <f t="shared" ca="1" si="428"/>
        <v/>
      </c>
      <c r="Z928" s="315" t="str">
        <f t="shared" ca="1" si="429"/>
        <v/>
      </c>
      <c r="AA928" s="316" t="str">
        <f t="shared" ca="1" si="430"/>
        <v/>
      </c>
      <c r="AC928" s="310" t="e">
        <f t="shared" ca="1" si="431"/>
        <v>#N/A</v>
      </c>
      <c r="AD928" s="323" t="e">
        <f t="shared" ca="1" si="432"/>
        <v>#N/A</v>
      </c>
      <c r="AE928" s="324" t="e">
        <f t="shared" ca="1" si="411"/>
        <v>#N/A</v>
      </c>
      <c r="AG928" s="306">
        <f t="shared" ca="1" si="433"/>
        <v>1.4575767617258464</v>
      </c>
      <c r="AH928" s="304">
        <f t="shared" ca="1" si="434"/>
        <v>-8.327645097837225</v>
      </c>
    </row>
    <row r="929" spans="1:34" x14ac:dyDescent="0.3">
      <c r="A929" s="347">
        <f t="shared" ca="1" si="412"/>
        <v>1E-4</v>
      </c>
      <c r="B929" s="304">
        <f t="shared" ca="1" si="413"/>
        <v>16.158399999999826</v>
      </c>
      <c r="D929" s="306">
        <f t="shared" ca="1" si="414"/>
        <v>-0.59150330848190624</v>
      </c>
      <c r="E929" s="307">
        <f t="shared" ca="1" si="415"/>
        <v>-1.503337539183315</v>
      </c>
      <c r="F929" s="304">
        <f t="shared" ca="1" si="416"/>
        <v>1.6155184680661459</v>
      </c>
      <c r="G929" s="306">
        <f t="shared" ca="1" si="417"/>
        <v>3.7196865300388393</v>
      </c>
      <c r="H929" s="307">
        <f t="shared" ca="1" si="418"/>
        <v>-52.237680308376284</v>
      </c>
      <c r="I929" s="304">
        <f t="shared" ca="1" si="419"/>
        <v>52.369946647689794</v>
      </c>
      <c r="J929" s="306">
        <f t="shared" ca="1" si="420"/>
        <v>150.09587023194715</v>
      </c>
      <c r="K929" s="307">
        <f t="shared" ca="1" si="421"/>
        <v>-5.8722561557343012</v>
      </c>
      <c r="L929" s="304">
        <f t="shared" ca="1" si="406"/>
        <v>150.21069753198032</v>
      </c>
      <c r="M929" s="306">
        <f t="shared" ca="1" si="422"/>
        <v>-1.4997093497317751</v>
      </c>
      <c r="N929" s="304">
        <f t="shared" ca="1" si="423"/>
        <v>-85.927016235939846</v>
      </c>
      <c r="P929" s="310">
        <f t="shared" ca="1" si="424"/>
        <v>23</v>
      </c>
      <c r="Q929" s="304">
        <f t="shared" ca="1" si="425"/>
        <v>0</v>
      </c>
      <c r="R929" s="306">
        <f t="shared" ca="1" si="426"/>
        <v>0</v>
      </c>
      <c r="S929" s="307">
        <f t="shared" ca="1" si="427"/>
        <v>0.4270000000000001</v>
      </c>
      <c r="T929" s="304">
        <f t="shared" ca="1" si="407"/>
        <v>4.1888700000000014</v>
      </c>
      <c r="U929" s="311">
        <f t="shared" ca="1" si="408"/>
        <v>0</v>
      </c>
      <c r="V929" s="306">
        <f t="shared" ca="1" si="409"/>
        <v>1.225719562651888</v>
      </c>
      <c r="W929" s="304">
        <f t="shared" ca="1" si="410"/>
        <v>3.5559477591392947</v>
      </c>
      <c r="Y929" s="314" t="str">
        <f t="shared" ca="1" si="428"/>
        <v/>
      </c>
      <c r="Z929" s="315" t="str">
        <f t="shared" ca="1" si="429"/>
        <v/>
      </c>
      <c r="AA929" s="316" t="str">
        <f t="shared" ca="1" si="430"/>
        <v/>
      </c>
      <c r="AC929" s="310" t="e">
        <f t="shared" ca="1" si="431"/>
        <v>#N/A</v>
      </c>
      <c r="AD929" s="323" t="e">
        <f t="shared" ca="1" si="432"/>
        <v>#N/A</v>
      </c>
      <c r="AE929" s="324" t="e">
        <f t="shared" ca="1" si="411"/>
        <v>#N/A</v>
      </c>
      <c r="AG929" s="306">
        <f t="shared" ca="1" si="433"/>
        <v>1.4575269828031949</v>
      </c>
      <c r="AH929" s="304">
        <f t="shared" ca="1" si="434"/>
        <v>-8.3276958038755335</v>
      </c>
    </row>
    <row r="930" spans="1:34" x14ac:dyDescent="0.3">
      <c r="A930" s="347">
        <f t="shared" ca="1" si="412"/>
        <v>1E-4</v>
      </c>
      <c r="B930" s="304">
        <f t="shared" ca="1" si="413"/>
        <v>16.158499999999826</v>
      </c>
      <c r="D930" s="306">
        <f t="shared" ca="1" si="414"/>
        <v>-0.5914958577621009</v>
      </c>
      <c r="E930" s="307">
        <f t="shared" ca="1" si="415"/>
        <v>-1.5032861756007136</v>
      </c>
      <c r="F930" s="304">
        <f t="shared" ca="1" si="416"/>
        <v>1.6154679431984849</v>
      </c>
      <c r="G930" s="306">
        <f t="shared" ca="1" si="417"/>
        <v>3.7196273804530633</v>
      </c>
      <c r="H930" s="307">
        <f t="shared" ca="1" si="418"/>
        <v>-52.237830636993841</v>
      </c>
      <c r="I930" s="304">
        <f t="shared" ca="1" si="419"/>
        <v>52.370092395456673</v>
      </c>
      <c r="J930" s="306">
        <f t="shared" ca="1" si="420"/>
        <v>150.09587023194715</v>
      </c>
      <c r="K930" s="307">
        <f t="shared" ca="1" si="421"/>
        <v>-5.8774799312815693</v>
      </c>
      <c r="L930" s="304">
        <f t="shared" ca="1" si="406"/>
        <v>150.21090183814266</v>
      </c>
      <c r="M930" s="306">
        <f t="shared" ca="1" si="422"/>
        <v>-1.4997106802164539</v>
      </c>
      <c r="N930" s="304">
        <f t="shared" ca="1" si="423"/>
        <v>-85.927092467096656</v>
      </c>
      <c r="P930" s="310">
        <f t="shared" ca="1" si="424"/>
        <v>23</v>
      </c>
      <c r="Q930" s="304">
        <f t="shared" ca="1" si="425"/>
        <v>0</v>
      </c>
      <c r="R930" s="306">
        <f t="shared" ca="1" si="426"/>
        <v>0</v>
      </c>
      <c r="S930" s="307">
        <f t="shared" ca="1" si="427"/>
        <v>0.4270000000000001</v>
      </c>
      <c r="T930" s="304">
        <f t="shared" ca="1" si="407"/>
        <v>4.1888700000000014</v>
      </c>
      <c r="U930" s="311">
        <f t="shared" ca="1" si="408"/>
        <v>0</v>
      </c>
      <c r="V930" s="306">
        <f t="shared" ca="1" si="409"/>
        <v>1.2257202029404985</v>
      </c>
      <c r="W930" s="304">
        <f t="shared" ca="1" si="410"/>
        <v>3.5559694094298355</v>
      </c>
      <c r="Y930" s="314" t="str">
        <f t="shared" ca="1" si="428"/>
        <v/>
      </c>
      <c r="Z930" s="315" t="str">
        <f t="shared" ca="1" si="429"/>
        <v/>
      </c>
      <c r="AA930" s="316" t="str">
        <f t="shared" ca="1" si="430"/>
        <v/>
      </c>
      <c r="AC930" s="310" t="e">
        <f t="shared" ca="1" si="431"/>
        <v>#N/A</v>
      </c>
      <c r="AD930" s="323" t="e">
        <f t="shared" ca="1" si="432"/>
        <v>#N/A</v>
      </c>
      <c r="AE930" s="324" t="e">
        <f t="shared" ca="1" si="411"/>
        <v>#N/A</v>
      </c>
      <c r="AG930" s="306">
        <f t="shared" ca="1" si="433"/>
        <v>1.4574772052342198</v>
      </c>
      <c r="AH930" s="304">
        <f t="shared" ca="1" si="434"/>
        <v>-8.327746508522937</v>
      </c>
    </row>
    <row r="931" spans="1:34" x14ac:dyDescent="0.3">
      <c r="A931" s="347">
        <f t="shared" ca="1" si="412"/>
        <v>1E-4</v>
      </c>
      <c r="B931" s="304">
        <f t="shared" ca="1" si="413"/>
        <v>16.158599999999826</v>
      </c>
      <c r="D931" s="306">
        <f t="shared" ca="1" si="414"/>
        <v>-0.59148840704514272</v>
      </c>
      <c r="E931" s="307">
        <f t="shared" ca="1" si="415"/>
        <v>-1.5032348134274827</v>
      </c>
      <c r="F931" s="304">
        <f t="shared" ca="1" si="416"/>
        <v>1.6154174197306277</v>
      </c>
      <c r="G931" s="306">
        <f t="shared" ca="1" si="417"/>
        <v>3.7195682316123588</v>
      </c>
      <c r="H931" s="307">
        <f t="shared" ca="1" si="418"/>
        <v>-52.237980960475184</v>
      </c>
      <c r="I931" s="304">
        <f t="shared" ca="1" si="419"/>
        <v>52.370238138245924</v>
      </c>
      <c r="J931" s="306">
        <f t="shared" ca="1" si="420"/>
        <v>150.09587023194715</v>
      </c>
      <c r="K931" s="307">
        <f t="shared" ca="1" si="421"/>
        <v>-5.8827037218614429</v>
      </c>
      <c r="L931" s="304">
        <f t="shared" ca="1" si="406"/>
        <v>150.21110632627907</v>
      </c>
      <c r="M931" s="306">
        <f t="shared" ca="1" si="422"/>
        <v>-1.4997120106725705</v>
      </c>
      <c r="N931" s="304">
        <f t="shared" ca="1" si="423"/>
        <v>-85.92716869661696</v>
      </c>
      <c r="P931" s="310">
        <f t="shared" ca="1" si="424"/>
        <v>23</v>
      </c>
      <c r="Q931" s="304">
        <f t="shared" ca="1" si="425"/>
        <v>0</v>
      </c>
      <c r="R931" s="306">
        <f t="shared" ca="1" si="426"/>
        <v>0</v>
      </c>
      <c r="S931" s="307">
        <f t="shared" ca="1" si="427"/>
        <v>0.4270000000000001</v>
      </c>
      <c r="T931" s="304">
        <f t="shared" ca="1" si="407"/>
        <v>4.1888700000000014</v>
      </c>
      <c r="U931" s="311">
        <f t="shared" ca="1" si="408"/>
        <v>0</v>
      </c>
      <c r="V931" s="306">
        <f t="shared" ca="1" si="409"/>
        <v>1.2257208432312861</v>
      </c>
      <c r="W931" s="304">
        <f t="shared" ca="1" si="410"/>
        <v>3.5559910591264812</v>
      </c>
      <c r="Y931" s="314" t="str">
        <f t="shared" ca="1" si="428"/>
        <v/>
      </c>
      <c r="Z931" s="315" t="str">
        <f t="shared" ca="1" si="429"/>
        <v/>
      </c>
      <c r="AA931" s="316" t="str">
        <f t="shared" ca="1" si="430"/>
        <v/>
      </c>
      <c r="AC931" s="310" t="e">
        <f t="shared" ca="1" si="431"/>
        <v>#N/A</v>
      </c>
      <c r="AD931" s="323" t="e">
        <f t="shared" ca="1" si="432"/>
        <v>#N/A</v>
      </c>
      <c r="AE931" s="324" t="e">
        <f t="shared" ca="1" si="411"/>
        <v>#N/A</v>
      </c>
      <c r="AG931" s="306">
        <f t="shared" ca="1" si="433"/>
        <v>1.4574274290188924</v>
      </c>
      <c r="AH931" s="304">
        <f t="shared" ca="1" si="434"/>
        <v>-8.3277972117794725</v>
      </c>
    </row>
    <row r="932" spans="1:34" x14ac:dyDescent="0.3">
      <c r="A932" s="347">
        <f t="shared" ca="1" si="412"/>
        <v>1E-4</v>
      </c>
      <c r="B932" s="304">
        <f t="shared" ca="1" si="413"/>
        <v>16.158699999999826</v>
      </c>
      <c r="D932" s="306">
        <f t="shared" ca="1" si="414"/>
        <v>-0.59148095633103515</v>
      </c>
      <c r="E932" s="307">
        <f t="shared" ca="1" si="415"/>
        <v>-1.5031834526636114</v>
      </c>
      <c r="F932" s="304">
        <f t="shared" ca="1" si="416"/>
        <v>1.6153668976625626</v>
      </c>
      <c r="G932" s="306">
        <f t="shared" ca="1" si="417"/>
        <v>3.7195090835167259</v>
      </c>
      <c r="H932" s="307">
        <f t="shared" ca="1" si="418"/>
        <v>-52.238131278820454</v>
      </c>
      <c r="I932" s="304">
        <f t="shared" ca="1" si="419"/>
        <v>52.370383876057694</v>
      </c>
      <c r="J932" s="306">
        <f t="shared" ca="1" si="420"/>
        <v>150.09587023194715</v>
      </c>
      <c r="K932" s="307">
        <f t="shared" ca="1" si="421"/>
        <v>-5.8879275274734075</v>
      </c>
      <c r="L932" s="304">
        <f t="shared" ca="1" si="406"/>
        <v>150.21131099639032</v>
      </c>
      <c r="M932" s="306">
        <f t="shared" ca="1" si="422"/>
        <v>-1.4997133411001256</v>
      </c>
      <c r="N932" s="304">
        <f t="shared" ca="1" si="423"/>
        <v>-85.927244924500812</v>
      </c>
      <c r="P932" s="310">
        <f t="shared" ca="1" si="424"/>
        <v>23</v>
      </c>
      <c r="Q932" s="304">
        <f t="shared" ca="1" si="425"/>
        <v>0</v>
      </c>
      <c r="R932" s="306">
        <f t="shared" ca="1" si="426"/>
        <v>0</v>
      </c>
      <c r="S932" s="307">
        <f t="shared" ca="1" si="427"/>
        <v>0.4270000000000001</v>
      </c>
      <c r="T932" s="304">
        <f t="shared" ca="1" si="407"/>
        <v>4.1888700000000014</v>
      </c>
      <c r="U932" s="311">
        <f t="shared" ca="1" si="408"/>
        <v>0</v>
      </c>
      <c r="V932" s="306">
        <f t="shared" ca="1" si="409"/>
        <v>1.2257214835242507</v>
      </c>
      <c r="W932" s="304">
        <f t="shared" ca="1" si="410"/>
        <v>3.5560127082292476</v>
      </c>
      <c r="Y932" s="314" t="str">
        <f t="shared" ca="1" si="428"/>
        <v/>
      </c>
      <c r="Z932" s="315" t="str">
        <f t="shared" ca="1" si="429"/>
        <v/>
      </c>
      <c r="AA932" s="316" t="str">
        <f t="shared" ca="1" si="430"/>
        <v/>
      </c>
      <c r="AC932" s="310" t="e">
        <f t="shared" ca="1" si="431"/>
        <v>#N/A</v>
      </c>
      <c r="AD932" s="323" t="e">
        <f t="shared" ca="1" si="432"/>
        <v>#N/A</v>
      </c>
      <c r="AE932" s="324" t="e">
        <f t="shared" ca="1" si="411"/>
        <v>#N/A</v>
      </c>
      <c r="AG932" s="306">
        <f t="shared" ca="1" si="433"/>
        <v>1.4573776541571952</v>
      </c>
      <c r="AH932" s="304">
        <f t="shared" ca="1" si="434"/>
        <v>-8.3278479136451526</v>
      </c>
    </row>
    <row r="933" spans="1:34" x14ac:dyDescent="0.3">
      <c r="A933" s="347">
        <f t="shared" ca="1" si="412"/>
        <v>1E-4</v>
      </c>
      <c r="B933" s="304">
        <f t="shared" ca="1" si="413"/>
        <v>16.158799999999825</v>
      </c>
      <c r="D933" s="306">
        <f t="shared" ca="1" si="414"/>
        <v>-0.5914735056197854</v>
      </c>
      <c r="E933" s="307">
        <f t="shared" ca="1" si="415"/>
        <v>-1.5031320933090608</v>
      </c>
      <c r="F933" s="304">
        <f t="shared" ca="1" si="416"/>
        <v>1.6153163769942525</v>
      </c>
      <c r="G933" s="306">
        <f t="shared" ca="1" si="417"/>
        <v>3.7194499361661642</v>
      </c>
      <c r="H933" s="307">
        <f t="shared" ca="1" si="418"/>
        <v>-52.238281592029786</v>
      </c>
      <c r="I933" s="304">
        <f t="shared" ca="1" si="419"/>
        <v>52.370529608892106</v>
      </c>
      <c r="J933" s="306">
        <f t="shared" ca="1" si="420"/>
        <v>150.09587023194715</v>
      </c>
      <c r="K933" s="307">
        <f t="shared" ca="1" si="421"/>
        <v>-5.89315134811695</v>
      </c>
      <c r="L933" s="304">
        <f t="shared" ca="1" si="406"/>
        <v>150.21151584847723</v>
      </c>
      <c r="M933" s="306">
        <f t="shared" ca="1" si="422"/>
        <v>-1.4997146714991196</v>
      </c>
      <c r="N933" s="304">
        <f t="shared" ca="1" si="423"/>
        <v>-85.927321150748242</v>
      </c>
      <c r="P933" s="310">
        <f t="shared" ca="1" si="424"/>
        <v>23</v>
      </c>
      <c r="Q933" s="304">
        <f t="shared" ca="1" si="425"/>
        <v>0</v>
      </c>
      <c r="R933" s="306">
        <f t="shared" ca="1" si="426"/>
        <v>0</v>
      </c>
      <c r="S933" s="307">
        <f t="shared" ca="1" si="427"/>
        <v>0.4270000000000001</v>
      </c>
      <c r="T933" s="304">
        <f t="shared" ca="1" si="407"/>
        <v>4.1888700000000014</v>
      </c>
      <c r="U933" s="311">
        <f t="shared" ca="1" si="408"/>
        <v>0</v>
      </c>
      <c r="V933" s="306">
        <f t="shared" ca="1" si="409"/>
        <v>1.2257221238193925</v>
      </c>
      <c r="W933" s="304">
        <f t="shared" ca="1" si="410"/>
        <v>3.5560343567381452</v>
      </c>
      <c r="Y933" s="314" t="str">
        <f t="shared" ca="1" si="428"/>
        <v/>
      </c>
      <c r="Z933" s="315" t="str">
        <f t="shared" ca="1" si="429"/>
        <v/>
      </c>
      <c r="AA933" s="316" t="str">
        <f t="shared" ca="1" si="430"/>
        <v/>
      </c>
      <c r="AC933" s="310" t="e">
        <f t="shared" ca="1" si="431"/>
        <v>#N/A</v>
      </c>
      <c r="AD933" s="323" t="e">
        <f t="shared" ca="1" si="432"/>
        <v>#N/A</v>
      </c>
      <c r="AE933" s="324" t="e">
        <f t="shared" ca="1" si="411"/>
        <v>#N/A</v>
      </c>
      <c r="AG933" s="306">
        <f t="shared" ca="1" si="433"/>
        <v>1.4573278806490944</v>
      </c>
      <c r="AH933" s="304">
        <f t="shared" ca="1" si="434"/>
        <v>-8.3278986141200164</v>
      </c>
    </row>
    <row r="934" spans="1:34" x14ac:dyDescent="0.3">
      <c r="A934" s="347">
        <f t="shared" ca="1" si="412"/>
        <v>1E-4</v>
      </c>
      <c r="B934" s="304">
        <f t="shared" ca="1" si="413"/>
        <v>16.158899999999825</v>
      </c>
      <c r="D934" s="306">
        <f t="shared" ca="1" si="414"/>
        <v>-0.59146605491139925</v>
      </c>
      <c r="E934" s="307">
        <f t="shared" ca="1" si="415"/>
        <v>-1.503080735363806</v>
      </c>
      <c r="F934" s="304">
        <f t="shared" ca="1" si="416"/>
        <v>1.6152658577256731</v>
      </c>
      <c r="G934" s="306">
        <f t="shared" ca="1" si="417"/>
        <v>3.719390789560673</v>
      </c>
      <c r="H934" s="307">
        <f t="shared" ca="1" si="418"/>
        <v>-52.238431900103322</v>
      </c>
      <c r="I934" s="304">
        <f t="shared" ca="1" si="419"/>
        <v>52.370675336749294</v>
      </c>
      <c r="J934" s="306">
        <f t="shared" ca="1" si="420"/>
        <v>150.09587023194715</v>
      </c>
      <c r="K934" s="307">
        <f t="shared" ca="1" si="421"/>
        <v>-5.8983751837915568</v>
      </c>
      <c r="L934" s="304">
        <f t="shared" ca="1" si="406"/>
        <v>150.21172088254059</v>
      </c>
      <c r="M934" s="306">
        <f t="shared" ca="1" si="422"/>
        <v>-1.4997160018695541</v>
      </c>
      <c r="N934" s="304">
        <f t="shared" ca="1" si="423"/>
        <v>-85.927397375359334</v>
      </c>
      <c r="P934" s="310">
        <f t="shared" ca="1" si="424"/>
        <v>23</v>
      </c>
      <c r="Q934" s="304">
        <f t="shared" ca="1" si="425"/>
        <v>0</v>
      </c>
      <c r="R934" s="306">
        <f t="shared" ca="1" si="426"/>
        <v>0</v>
      </c>
      <c r="S934" s="307">
        <f t="shared" ca="1" si="427"/>
        <v>0.4270000000000001</v>
      </c>
      <c r="T934" s="304">
        <f t="shared" ca="1" si="407"/>
        <v>4.1888700000000014</v>
      </c>
      <c r="U934" s="311">
        <f t="shared" ca="1" si="408"/>
        <v>0</v>
      </c>
      <c r="V934" s="306">
        <f t="shared" ca="1" si="409"/>
        <v>1.225722764116711</v>
      </c>
      <c r="W934" s="304">
        <f t="shared" ca="1" si="410"/>
        <v>3.5560560046531831</v>
      </c>
      <c r="Y934" s="314" t="str">
        <f t="shared" ca="1" si="428"/>
        <v/>
      </c>
      <c r="Z934" s="315" t="str">
        <f t="shared" ca="1" si="429"/>
        <v/>
      </c>
      <c r="AA934" s="316" t="str">
        <f t="shared" ca="1" si="430"/>
        <v/>
      </c>
      <c r="AC934" s="310" t="e">
        <f t="shared" ca="1" si="431"/>
        <v>#N/A</v>
      </c>
      <c r="AD934" s="323" t="e">
        <f t="shared" ca="1" si="432"/>
        <v>#N/A</v>
      </c>
      <c r="AE934" s="324" t="e">
        <f t="shared" ca="1" si="411"/>
        <v>#N/A</v>
      </c>
      <c r="AG934" s="306">
        <f t="shared" ca="1" si="433"/>
        <v>1.4572781084945667</v>
      </c>
      <c r="AH934" s="304">
        <f t="shared" ca="1" si="434"/>
        <v>-8.3279493132040852</v>
      </c>
    </row>
    <row r="935" spans="1:34" x14ac:dyDescent="0.3">
      <c r="A935" s="347">
        <f t="shared" ca="1" si="412"/>
        <v>1E-4</v>
      </c>
      <c r="B935" s="304">
        <f t="shared" ca="1" si="413"/>
        <v>16.158999999999825</v>
      </c>
      <c r="D935" s="306">
        <f t="shared" ca="1" si="414"/>
        <v>-0.59145860420587726</v>
      </c>
      <c r="E935" s="307">
        <f t="shared" ca="1" si="415"/>
        <v>-1.5030293788278257</v>
      </c>
      <c r="F935" s="304">
        <f t="shared" ca="1" si="416"/>
        <v>1.6152153398568019</v>
      </c>
      <c r="G935" s="306">
        <f t="shared" ca="1" si="417"/>
        <v>3.7193316437002526</v>
      </c>
      <c r="H935" s="307">
        <f t="shared" ca="1" si="418"/>
        <v>-52.238582203041204</v>
      </c>
      <c r="I935" s="304">
        <f t="shared" ca="1" si="419"/>
        <v>52.370821059629414</v>
      </c>
      <c r="J935" s="306">
        <f t="shared" ca="1" si="420"/>
        <v>150.09587023194715</v>
      </c>
      <c r="K935" s="307">
        <f t="shared" ca="1" si="421"/>
        <v>-5.9035990344967137</v>
      </c>
      <c r="L935" s="304">
        <f t="shared" ca="1" si="406"/>
        <v>150.21192609858122</v>
      </c>
      <c r="M935" s="306">
        <f t="shared" ca="1" si="422"/>
        <v>-1.4997173322114294</v>
      </c>
      <c r="N935" s="304">
        <f t="shared" ca="1" si="423"/>
        <v>-85.927473598334089</v>
      </c>
      <c r="P935" s="310">
        <f t="shared" ca="1" si="424"/>
        <v>23</v>
      </c>
      <c r="Q935" s="304">
        <f t="shared" ca="1" si="425"/>
        <v>0</v>
      </c>
      <c r="R935" s="306">
        <f t="shared" ca="1" si="426"/>
        <v>0</v>
      </c>
      <c r="S935" s="307">
        <f t="shared" ca="1" si="427"/>
        <v>0.4270000000000001</v>
      </c>
      <c r="T935" s="304">
        <f t="shared" ca="1" si="407"/>
        <v>4.1888700000000014</v>
      </c>
      <c r="U935" s="311">
        <f t="shared" ca="1" si="408"/>
        <v>0</v>
      </c>
      <c r="V935" s="306">
        <f t="shared" ca="1" si="409"/>
        <v>1.2257234044162064</v>
      </c>
      <c r="W935" s="304">
        <f t="shared" ca="1" si="410"/>
        <v>3.5560776519743778</v>
      </c>
      <c r="Y935" s="314" t="str">
        <f t="shared" ca="1" si="428"/>
        <v/>
      </c>
      <c r="Z935" s="315" t="str">
        <f t="shared" ca="1" si="429"/>
        <v/>
      </c>
      <c r="AA935" s="316" t="str">
        <f t="shared" ca="1" si="430"/>
        <v/>
      </c>
      <c r="AC935" s="310" t="e">
        <f t="shared" ca="1" si="431"/>
        <v>#N/A</v>
      </c>
      <c r="AD935" s="323" t="e">
        <f t="shared" ca="1" si="432"/>
        <v>#N/A</v>
      </c>
      <c r="AE935" s="324" t="e">
        <f t="shared" ca="1" si="411"/>
        <v>#N/A</v>
      </c>
      <c r="AG935" s="306">
        <f t="shared" ca="1" si="433"/>
        <v>1.4572283376935964</v>
      </c>
      <c r="AH935" s="304">
        <f t="shared" ca="1" si="434"/>
        <v>-8.328000010897382</v>
      </c>
    </row>
    <row r="936" spans="1:34" x14ac:dyDescent="0.3">
      <c r="A936" s="347">
        <f t="shared" ca="1" si="412"/>
        <v>1E-4</v>
      </c>
      <c r="B936" s="304">
        <f t="shared" ca="1" si="413"/>
        <v>16.159099999999825</v>
      </c>
      <c r="D936" s="306">
        <f t="shared" ca="1" si="414"/>
        <v>-0.59145115350322863</v>
      </c>
      <c r="E936" s="307">
        <f t="shared" ca="1" si="415"/>
        <v>-1.5029780237010808</v>
      </c>
      <c r="F936" s="304">
        <f t="shared" ca="1" si="416"/>
        <v>1.6151648233876028</v>
      </c>
      <c r="G936" s="306">
        <f t="shared" ca="1" si="417"/>
        <v>3.7192724985849024</v>
      </c>
      <c r="H936" s="307">
        <f t="shared" ca="1" si="418"/>
        <v>-52.238732500843575</v>
      </c>
      <c r="I936" s="304">
        <f t="shared" ca="1" si="419"/>
        <v>52.37096677753258</v>
      </c>
      <c r="J936" s="306">
        <f t="shared" ca="1" si="420"/>
        <v>150.09587023194715</v>
      </c>
      <c r="K936" s="307">
        <f t="shared" ca="1" si="421"/>
        <v>-5.9088229002319084</v>
      </c>
      <c r="L936" s="304">
        <f t="shared" ca="1" si="406"/>
        <v>150.21213149659991</v>
      </c>
      <c r="M936" s="306">
        <f t="shared" ca="1" si="422"/>
        <v>-1.4997186625247463</v>
      </c>
      <c r="N936" s="304">
        <f t="shared" ca="1" si="423"/>
        <v>-85.927549819672578</v>
      </c>
      <c r="P936" s="310">
        <f t="shared" ca="1" si="424"/>
        <v>23</v>
      </c>
      <c r="Q936" s="304">
        <f t="shared" ca="1" si="425"/>
        <v>0</v>
      </c>
      <c r="R936" s="306">
        <f t="shared" ca="1" si="426"/>
        <v>0</v>
      </c>
      <c r="S936" s="307">
        <f t="shared" ca="1" si="427"/>
        <v>0.4270000000000001</v>
      </c>
      <c r="T936" s="304">
        <f t="shared" ca="1" si="407"/>
        <v>4.1888700000000014</v>
      </c>
      <c r="U936" s="311">
        <f t="shared" ca="1" si="408"/>
        <v>0</v>
      </c>
      <c r="V936" s="306">
        <f t="shared" ca="1" si="409"/>
        <v>1.2257240447178792</v>
      </c>
      <c r="W936" s="304">
        <f t="shared" ca="1" si="410"/>
        <v>3.5560992987017399</v>
      </c>
      <c r="Y936" s="314" t="str">
        <f t="shared" ca="1" si="428"/>
        <v/>
      </c>
      <c r="Z936" s="315" t="str">
        <f t="shared" ca="1" si="429"/>
        <v/>
      </c>
      <c r="AA936" s="316" t="str">
        <f t="shared" ca="1" si="430"/>
        <v/>
      </c>
      <c r="AC936" s="310" t="e">
        <f t="shared" ca="1" si="431"/>
        <v>#N/A</v>
      </c>
      <c r="AD936" s="323" t="e">
        <f t="shared" ca="1" si="432"/>
        <v>#N/A</v>
      </c>
      <c r="AE936" s="324" t="e">
        <f t="shared" ca="1" si="411"/>
        <v>#N/A</v>
      </c>
      <c r="AG936" s="306">
        <f t="shared" ca="1" si="433"/>
        <v>1.4571785682461424</v>
      </c>
      <c r="AH936" s="304">
        <f t="shared" ca="1" si="434"/>
        <v>-8.3280507071999459</v>
      </c>
    </row>
    <row r="937" spans="1:34" x14ac:dyDescent="0.3">
      <c r="A937" s="347">
        <f t="shared" ca="1" si="412"/>
        <v>1E-4</v>
      </c>
      <c r="B937" s="304">
        <f t="shared" ca="1" si="413"/>
        <v>16.159199999999824</v>
      </c>
      <c r="D937" s="306">
        <f t="shared" ca="1" si="414"/>
        <v>-0.59144370280345937</v>
      </c>
      <c r="E937" s="307">
        <f t="shared" ca="1" si="415"/>
        <v>-1.5029266699835446</v>
      </c>
      <c r="F937" s="304">
        <f t="shared" ca="1" si="416"/>
        <v>1.6151143083180499</v>
      </c>
      <c r="G937" s="306">
        <f t="shared" ca="1" si="417"/>
        <v>3.719213354214622</v>
      </c>
      <c r="H937" s="307">
        <f t="shared" ca="1" si="418"/>
        <v>-52.238882793510577</v>
      </c>
      <c r="I937" s="304">
        <f t="shared" ca="1" si="419"/>
        <v>52.371112490458934</v>
      </c>
      <c r="J937" s="306">
        <f t="shared" ca="1" si="420"/>
        <v>150.09587023194715</v>
      </c>
      <c r="K937" s="307">
        <f t="shared" ca="1" si="421"/>
        <v>-5.9140467809966264</v>
      </c>
      <c r="L937" s="304">
        <f t="shared" ca="1" si="406"/>
        <v>150.21233707659746</v>
      </c>
      <c r="M937" s="306">
        <f t="shared" ca="1" si="422"/>
        <v>-1.499719992809506</v>
      </c>
      <c r="N937" s="304">
        <f t="shared" ca="1" si="423"/>
        <v>-85.927626039374857</v>
      </c>
      <c r="P937" s="310">
        <f t="shared" ca="1" si="424"/>
        <v>23</v>
      </c>
      <c r="Q937" s="304">
        <f t="shared" ca="1" si="425"/>
        <v>0</v>
      </c>
      <c r="R937" s="306">
        <f t="shared" ca="1" si="426"/>
        <v>0</v>
      </c>
      <c r="S937" s="307">
        <f t="shared" ca="1" si="427"/>
        <v>0.4270000000000001</v>
      </c>
      <c r="T937" s="304">
        <f t="shared" ca="1" si="407"/>
        <v>4.1888700000000014</v>
      </c>
      <c r="U937" s="311">
        <f t="shared" ca="1" si="408"/>
        <v>0</v>
      </c>
      <c r="V937" s="306">
        <f t="shared" ca="1" si="409"/>
        <v>1.225724685021728</v>
      </c>
      <c r="W937" s="304">
        <f t="shared" ca="1" si="410"/>
        <v>3.5561209448352766</v>
      </c>
      <c r="Y937" s="314" t="str">
        <f t="shared" ca="1" si="428"/>
        <v/>
      </c>
      <c r="Z937" s="315" t="str">
        <f t="shared" ca="1" si="429"/>
        <v/>
      </c>
      <c r="AA937" s="316" t="str">
        <f t="shared" ca="1" si="430"/>
        <v/>
      </c>
      <c r="AC937" s="310" t="e">
        <f t="shared" ca="1" si="431"/>
        <v>#N/A</v>
      </c>
      <c r="AD937" s="323" t="e">
        <f t="shared" ca="1" si="432"/>
        <v>#N/A</v>
      </c>
      <c r="AE937" s="324" t="e">
        <f t="shared" ca="1" si="411"/>
        <v>#N/A</v>
      </c>
      <c r="AG937" s="306">
        <f t="shared" ca="1" si="433"/>
        <v>1.4571288001521818</v>
      </c>
      <c r="AH937" s="304">
        <f t="shared" ca="1" si="434"/>
        <v>-8.3281014021118018</v>
      </c>
    </row>
    <row r="938" spans="1:34" x14ac:dyDescent="0.3">
      <c r="A938" s="347">
        <f t="shared" ca="1" si="412"/>
        <v>1E-4</v>
      </c>
      <c r="B938" s="304">
        <f t="shared" ca="1" si="413"/>
        <v>16.159299999999824</v>
      </c>
      <c r="D938" s="306">
        <f t="shared" ca="1" si="414"/>
        <v>-0.59143625210656936</v>
      </c>
      <c r="E938" s="307">
        <f t="shared" ca="1" si="415"/>
        <v>-1.502875317675203</v>
      </c>
      <c r="F938" s="304">
        <f t="shared" ca="1" si="416"/>
        <v>1.6150637946481272</v>
      </c>
      <c r="G938" s="306">
        <f t="shared" ca="1" si="417"/>
        <v>3.7191542105894113</v>
      </c>
      <c r="H938" s="307">
        <f t="shared" ca="1" si="418"/>
        <v>-52.239033081042344</v>
      </c>
      <c r="I938" s="304">
        <f t="shared" ca="1" si="419"/>
        <v>52.371258198408611</v>
      </c>
      <c r="J938" s="306">
        <f t="shared" ca="1" si="420"/>
        <v>150.09587023194715</v>
      </c>
      <c r="K938" s="307">
        <f t="shared" ca="1" si="421"/>
        <v>-5.9192706767903545</v>
      </c>
      <c r="L938" s="304">
        <f t="shared" ca="1" si="406"/>
        <v>150.21254283857465</v>
      </c>
      <c r="M938" s="306">
        <f t="shared" ca="1" si="422"/>
        <v>-1.4997213230657087</v>
      </c>
      <c r="N938" s="304">
        <f t="shared" ca="1" si="423"/>
        <v>-85.927702257440956</v>
      </c>
      <c r="P938" s="310">
        <f t="shared" ca="1" si="424"/>
        <v>23</v>
      </c>
      <c r="Q938" s="304">
        <f t="shared" ca="1" si="425"/>
        <v>0</v>
      </c>
      <c r="R938" s="306">
        <f t="shared" ca="1" si="426"/>
        <v>0</v>
      </c>
      <c r="S938" s="307">
        <f t="shared" ca="1" si="427"/>
        <v>0.4270000000000001</v>
      </c>
      <c r="T938" s="304">
        <f t="shared" ca="1" si="407"/>
        <v>4.1888700000000014</v>
      </c>
      <c r="U938" s="311">
        <f t="shared" ca="1" si="408"/>
        <v>0</v>
      </c>
      <c r="V938" s="306">
        <f t="shared" ca="1" si="409"/>
        <v>1.225725325327754</v>
      </c>
      <c r="W938" s="304">
        <f t="shared" ca="1" si="410"/>
        <v>3.5561425903750039</v>
      </c>
      <c r="Y938" s="314" t="str">
        <f t="shared" ca="1" si="428"/>
        <v/>
      </c>
      <c r="Z938" s="315" t="str">
        <f t="shared" ca="1" si="429"/>
        <v/>
      </c>
      <c r="AA938" s="316" t="str">
        <f t="shared" ca="1" si="430"/>
        <v/>
      </c>
      <c r="AC938" s="310" t="e">
        <f t="shared" ca="1" si="431"/>
        <v>#N/A</v>
      </c>
      <c r="AD938" s="323" t="e">
        <f t="shared" ca="1" si="432"/>
        <v>#N/A</v>
      </c>
      <c r="AE938" s="324" t="e">
        <f t="shared" ca="1" si="411"/>
        <v>#N/A</v>
      </c>
      <c r="AG938" s="306">
        <f t="shared" ca="1" si="433"/>
        <v>1.4570790334117039</v>
      </c>
      <c r="AH938" s="304">
        <f t="shared" ca="1" si="434"/>
        <v>-8.328152095632964</v>
      </c>
    </row>
    <row r="939" spans="1:34" x14ac:dyDescent="0.3">
      <c r="A939" s="347">
        <f t="shared" ca="1" si="412"/>
        <v>1E-4</v>
      </c>
      <c r="B939" s="304">
        <f t="shared" ca="1" si="413"/>
        <v>16.159399999999824</v>
      </c>
      <c r="D939" s="306">
        <f t="shared" ca="1" si="414"/>
        <v>-0.59142880141256959</v>
      </c>
      <c r="E939" s="307">
        <f t="shared" ca="1" si="415"/>
        <v>-1.502823966776015</v>
      </c>
      <c r="F939" s="304">
        <f t="shared" ca="1" si="416"/>
        <v>1.615013282377797</v>
      </c>
      <c r="G939" s="306">
        <f t="shared" ca="1" si="417"/>
        <v>3.71909506770927</v>
      </c>
      <c r="H939" s="307">
        <f t="shared" ca="1" si="418"/>
        <v>-52.239183363439018</v>
      </c>
      <c r="I939" s="304">
        <f t="shared" ca="1" si="419"/>
        <v>52.371403901381747</v>
      </c>
      <c r="J939" s="306">
        <f t="shared" ca="1" si="420"/>
        <v>150.09587023194715</v>
      </c>
      <c r="K939" s="307">
        <f t="shared" ca="1" si="421"/>
        <v>-5.9244945876125783</v>
      </c>
      <c r="L939" s="304">
        <f t="shared" ca="1" si="406"/>
        <v>150.21274878253234</v>
      </c>
      <c r="M939" s="306">
        <f t="shared" ca="1" si="422"/>
        <v>-1.4997226532933559</v>
      </c>
      <c r="N939" s="304">
        <f t="shared" ca="1" si="423"/>
        <v>-85.927778473870916</v>
      </c>
      <c r="P939" s="310">
        <f t="shared" ca="1" si="424"/>
        <v>23</v>
      </c>
      <c r="Q939" s="304">
        <f t="shared" ca="1" si="425"/>
        <v>0</v>
      </c>
      <c r="R939" s="306">
        <f t="shared" ca="1" si="426"/>
        <v>0</v>
      </c>
      <c r="S939" s="307">
        <f t="shared" ca="1" si="427"/>
        <v>0.4270000000000001</v>
      </c>
      <c r="T939" s="304">
        <f t="shared" ca="1" si="407"/>
        <v>4.1888700000000014</v>
      </c>
      <c r="U939" s="311">
        <f t="shared" ca="1" si="408"/>
        <v>0</v>
      </c>
      <c r="V939" s="306">
        <f t="shared" ca="1" si="409"/>
        <v>1.2257259656359567</v>
      </c>
      <c r="W939" s="304">
        <f t="shared" ca="1" si="410"/>
        <v>3.5561642353209333</v>
      </c>
      <c r="Y939" s="314" t="str">
        <f t="shared" ca="1" si="428"/>
        <v/>
      </c>
      <c r="Z939" s="315" t="str">
        <f t="shared" ca="1" si="429"/>
        <v/>
      </c>
      <c r="AA939" s="316" t="str">
        <f t="shared" ca="1" si="430"/>
        <v/>
      </c>
      <c r="AC939" s="310" t="e">
        <f t="shared" ca="1" si="431"/>
        <v>#N/A</v>
      </c>
      <c r="AD939" s="323" t="e">
        <f t="shared" ca="1" si="432"/>
        <v>#N/A</v>
      </c>
      <c r="AE939" s="324" t="e">
        <f t="shared" ca="1" si="411"/>
        <v>#N/A</v>
      </c>
      <c r="AG939" s="306">
        <f t="shared" ca="1" si="433"/>
        <v>1.4570292680246695</v>
      </c>
      <c r="AH939" s="304">
        <f t="shared" ca="1" si="434"/>
        <v>-8.3282027877634732</v>
      </c>
    </row>
    <row r="940" spans="1:34" x14ac:dyDescent="0.3">
      <c r="A940" s="347">
        <f t="shared" ca="1" si="412"/>
        <v>1E-4</v>
      </c>
      <c r="B940" s="304">
        <f t="shared" ca="1" si="413"/>
        <v>16.159499999999824</v>
      </c>
      <c r="D940" s="306">
        <f t="shared" ca="1" si="414"/>
        <v>-0.59142135072146096</v>
      </c>
      <c r="E940" s="307">
        <f t="shared" ca="1" si="415"/>
        <v>-1.5027726172859559</v>
      </c>
      <c r="F940" s="304">
        <f t="shared" ca="1" si="416"/>
        <v>1.6149627715070336</v>
      </c>
      <c r="G940" s="306">
        <f t="shared" ca="1" si="417"/>
        <v>3.719035925574198</v>
      </c>
      <c r="H940" s="307">
        <f t="shared" ca="1" si="418"/>
        <v>-52.23933364070075</v>
      </c>
      <c r="I940" s="304">
        <f t="shared" ca="1" si="419"/>
        <v>52.37154959937849</v>
      </c>
      <c r="J940" s="306">
        <f t="shared" ca="1" si="420"/>
        <v>150.09587023194715</v>
      </c>
      <c r="K940" s="307">
        <f t="shared" ca="1" si="421"/>
        <v>-5.9297185134627854</v>
      </c>
      <c r="L940" s="304">
        <f t="shared" ca="1" si="406"/>
        <v>150.21295490847126</v>
      </c>
      <c r="M940" s="306">
        <f t="shared" ca="1" si="422"/>
        <v>-1.4997239834924478</v>
      </c>
      <c r="N940" s="304">
        <f t="shared" ca="1" si="423"/>
        <v>-85.927854688664809</v>
      </c>
      <c r="P940" s="310">
        <f t="shared" ca="1" si="424"/>
        <v>23</v>
      </c>
      <c r="Q940" s="304">
        <f t="shared" ca="1" si="425"/>
        <v>0</v>
      </c>
      <c r="R940" s="306">
        <f t="shared" ca="1" si="426"/>
        <v>0</v>
      </c>
      <c r="S940" s="307">
        <f t="shared" ca="1" si="427"/>
        <v>0.4270000000000001</v>
      </c>
      <c r="T940" s="304">
        <f t="shared" ca="1" si="407"/>
        <v>4.1888700000000014</v>
      </c>
      <c r="U940" s="311">
        <f t="shared" ca="1" si="408"/>
        <v>0</v>
      </c>
      <c r="V940" s="306">
        <f t="shared" ca="1" si="409"/>
        <v>1.2257266059463361</v>
      </c>
      <c r="W940" s="304">
        <f t="shared" ca="1" si="410"/>
        <v>3.5561858796730772</v>
      </c>
      <c r="Y940" s="314" t="str">
        <f t="shared" ca="1" si="428"/>
        <v/>
      </c>
      <c r="Z940" s="315" t="str">
        <f t="shared" ca="1" si="429"/>
        <v/>
      </c>
      <c r="AA940" s="316" t="str">
        <f t="shared" ca="1" si="430"/>
        <v/>
      </c>
      <c r="AC940" s="310" t="e">
        <f t="shared" ca="1" si="431"/>
        <v>#N/A</v>
      </c>
      <c r="AD940" s="323" t="e">
        <f t="shared" ca="1" si="432"/>
        <v>#N/A</v>
      </c>
      <c r="AE940" s="324" t="e">
        <f t="shared" ca="1" si="411"/>
        <v>#N/A</v>
      </c>
      <c r="AG940" s="306">
        <f t="shared" ca="1" si="433"/>
        <v>1.4569795039910503</v>
      </c>
      <c r="AH940" s="304">
        <f t="shared" ca="1" si="434"/>
        <v>-8.3282534785033544</v>
      </c>
    </row>
    <row r="941" spans="1:34" x14ac:dyDescent="0.3">
      <c r="A941" s="347">
        <f t="shared" ca="1" si="412"/>
        <v>1E-4</v>
      </c>
      <c r="B941" s="304">
        <f t="shared" ca="1" si="413"/>
        <v>16.159599999999823</v>
      </c>
      <c r="D941" s="306">
        <f t="shared" ca="1" si="414"/>
        <v>-0.59141390003325145</v>
      </c>
      <c r="E941" s="307">
        <f t="shared" ca="1" si="415"/>
        <v>-1.5027212692049954</v>
      </c>
      <c r="F941" s="304">
        <f t="shared" ca="1" si="416"/>
        <v>1.614912262035809</v>
      </c>
      <c r="G941" s="306">
        <f t="shared" ca="1" si="417"/>
        <v>3.7189767841841945</v>
      </c>
      <c r="H941" s="307">
        <f t="shared" ca="1" si="418"/>
        <v>-52.239483912827673</v>
      </c>
      <c r="I941" s="304">
        <f t="shared" ca="1" si="419"/>
        <v>52.371695292398947</v>
      </c>
      <c r="J941" s="306">
        <f t="shared" ca="1" si="420"/>
        <v>150.09587023194715</v>
      </c>
      <c r="K941" s="307">
        <f t="shared" ca="1" si="421"/>
        <v>-5.9349424543404616</v>
      </c>
      <c r="L941" s="304">
        <f t="shared" ca="1" si="406"/>
        <v>150.21316121639225</v>
      </c>
      <c r="M941" s="306">
        <f t="shared" ca="1" si="422"/>
        <v>-1.4997253136629858</v>
      </c>
      <c r="N941" s="304">
        <f t="shared" ca="1" si="423"/>
        <v>-85.927930901822663</v>
      </c>
      <c r="P941" s="310">
        <f t="shared" ca="1" si="424"/>
        <v>23</v>
      </c>
      <c r="Q941" s="304">
        <f t="shared" ca="1" si="425"/>
        <v>0</v>
      </c>
      <c r="R941" s="306">
        <f t="shared" ca="1" si="426"/>
        <v>0</v>
      </c>
      <c r="S941" s="307">
        <f t="shared" ca="1" si="427"/>
        <v>0.4270000000000001</v>
      </c>
      <c r="T941" s="304">
        <f t="shared" ca="1" si="407"/>
        <v>4.1888700000000014</v>
      </c>
      <c r="U941" s="311">
        <f t="shared" ca="1" si="408"/>
        <v>0</v>
      </c>
      <c r="V941" s="306">
        <f t="shared" ca="1" si="409"/>
        <v>1.2257272462588915</v>
      </c>
      <c r="W941" s="304">
        <f t="shared" ca="1" si="410"/>
        <v>3.5562075234314414</v>
      </c>
      <c r="Y941" s="314" t="str">
        <f t="shared" ca="1" si="428"/>
        <v/>
      </c>
      <c r="Z941" s="315" t="str">
        <f t="shared" ca="1" si="429"/>
        <v/>
      </c>
      <c r="AA941" s="316" t="str">
        <f t="shared" ca="1" si="430"/>
        <v/>
      </c>
      <c r="AC941" s="310" t="e">
        <f t="shared" ca="1" si="431"/>
        <v>#N/A</v>
      </c>
      <c r="AD941" s="323" t="e">
        <f t="shared" ca="1" si="432"/>
        <v>#N/A</v>
      </c>
      <c r="AE941" s="324" t="e">
        <f t="shared" ca="1" si="411"/>
        <v>#N/A</v>
      </c>
      <c r="AG941" s="306">
        <f t="shared" ca="1" si="433"/>
        <v>1.4569297413108231</v>
      </c>
      <c r="AH941" s="304">
        <f t="shared" ca="1" si="434"/>
        <v>-8.3283041678526377</v>
      </c>
    </row>
    <row r="942" spans="1:34" x14ac:dyDescent="0.3">
      <c r="A942" s="347">
        <f t="shared" ca="1" si="412"/>
        <v>1E-4</v>
      </c>
      <c r="B942" s="304">
        <f t="shared" ca="1" si="413"/>
        <v>16.159699999999823</v>
      </c>
      <c r="D942" s="306">
        <f t="shared" ca="1" si="414"/>
        <v>-0.59140644934794284</v>
      </c>
      <c r="E942" s="307">
        <f t="shared" ca="1" si="415"/>
        <v>-1.5026699225331193</v>
      </c>
      <c r="F942" s="304">
        <f t="shared" ca="1" si="416"/>
        <v>1.6148617539641068</v>
      </c>
      <c r="G942" s="306">
        <f t="shared" ca="1" si="417"/>
        <v>3.7189176435392599</v>
      </c>
      <c r="H942" s="307">
        <f t="shared" ca="1" si="418"/>
        <v>-52.239634179819923</v>
      </c>
      <c r="I942" s="304">
        <f t="shared" ca="1" si="419"/>
        <v>52.371840980443274</v>
      </c>
      <c r="J942" s="306">
        <f t="shared" ca="1" si="420"/>
        <v>150.09587023194715</v>
      </c>
      <c r="K942" s="307">
        <f t="shared" ca="1" si="421"/>
        <v>-5.9401664102450944</v>
      </c>
      <c r="L942" s="304">
        <f t="shared" ca="1" si="406"/>
        <v>150.21336770629611</v>
      </c>
      <c r="M942" s="306">
        <f t="shared" ca="1" si="422"/>
        <v>-1.4997266438049701</v>
      </c>
      <c r="N942" s="304">
        <f t="shared" ca="1" si="423"/>
        <v>-85.92800711334452</v>
      </c>
      <c r="P942" s="310">
        <f t="shared" ca="1" si="424"/>
        <v>23</v>
      </c>
      <c r="Q942" s="304">
        <f t="shared" ca="1" si="425"/>
        <v>0</v>
      </c>
      <c r="R942" s="306">
        <f t="shared" ca="1" si="426"/>
        <v>0</v>
      </c>
      <c r="S942" s="307">
        <f t="shared" ca="1" si="427"/>
        <v>0.4270000000000001</v>
      </c>
      <c r="T942" s="304">
        <f t="shared" ca="1" si="407"/>
        <v>4.1888700000000014</v>
      </c>
      <c r="U942" s="311">
        <f t="shared" ca="1" si="408"/>
        <v>0</v>
      </c>
      <c r="V942" s="306">
        <f t="shared" ca="1" si="409"/>
        <v>1.2257278865736239</v>
      </c>
      <c r="W942" s="304">
        <f t="shared" ca="1" si="410"/>
        <v>3.5562291665960442</v>
      </c>
      <c r="Y942" s="314" t="str">
        <f t="shared" ca="1" si="428"/>
        <v/>
      </c>
      <c r="Z942" s="315" t="str">
        <f t="shared" ca="1" si="429"/>
        <v/>
      </c>
      <c r="AA942" s="316" t="str">
        <f t="shared" ca="1" si="430"/>
        <v/>
      </c>
      <c r="AC942" s="310" t="e">
        <f t="shared" ca="1" si="431"/>
        <v>#N/A</v>
      </c>
      <c r="AD942" s="323" t="e">
        <f t="shared" ca="1" si="432"/>
        <v>#N/A</v>
      </c>
      <c r="AE942" s="324" t="e">
        <f t="shared" ca="1" si="411"/>
        <v>#N/A</v>
      </c>
      <c r="AG942" s="306">
        <f t="shared" ca="1" si="433"/>
        <v>1.4568799799839756</v>
      </c>
      <c r="AH942" s="304">
        <f t="shared" ca="1" si="434"/>
        <v>-8.3283548558113356</v>
      </c>
    </row>
    <row r="943" spans="1:34" x14ac:dyDescent="0.3">
      <c r="A943" s="347">
        <f t="shared" ca="1" si="412"/>
        <v>1E-4</v>
      </c>
      <c r="B943" s="304">
        <f t="shared" ca="1" si="413"/>
        <v>16.159799999999823</v>
      </c>
      <c r="D943" s="306">
        <f t="shared" ca="1" si="414"/>
        <v>-0.59139899866554457</v>
      </c>
      <c r="E943" s="307">
        <f t="shared" ca="1" si="415"/>
        <v>-1.5026185772702814</v>
      </c>
      <c r="F943" s="304">
        <f t="shared" ca="1" si="416"/>
        <v>1.614811247291885</v>
      </c>
      <c r="G943" s="306">
        <f t="shared" ca="1" si="417"/>
        <v>3.7188585036393933</v>
      </c>
      <c r="H943" s="307">
        <f t="shared" ca="1" si="418"/>
        <v>-52.239784441677649</v>
      </c>
      <c r="I943" s="304">
        <f t="shared" ca="1" si="419"/>
        <v>52.371986663511606</v>
      </c>
      <c r="J943" s="306">
        <f t="shared" ca="1" si="420"/>
        <v>150.09587023194715</v>
      </c>
      <c r="K943" s="307">
        <f t="shared" ca="1" si="421"/>
        <v>-5.9453903811761695</v>
      </c>
      <c r="L943" s="304">
        <f t="shared" ca="1" si="406"/>
        <v>150.21357437818361</v>
      </c>
      <c r="M943" s="306">
        <f t="shared" ca="1" si="422"/>
        <v>-1.4997279739184022</v>
      </c>
      <c r="N943" s="304">
        <f t="shared" ca="1" si="423"/>
        <v>-85.928083323230453</v>
      </c>
      <c r="P943" s="310">
        <f t="shared" ca="1" si="424"/>
        <v>23</v>
      </c>
      <c r="Q943" s="304">
        <f t="shared" ca="1" si="425"/>
        <v>0</v>
      </c>
      <c r="R943" s="306">
        <f t="shared" ca="1" si="426"/>
        <v>0</v>
      </c>
      <c r="S943" s="307">
        <f t="shared" ca="1" si="427"/>
        <v>0.4270000000000001</v>
      </c>
      <c r="T943" s="304">
        <f t="shared" ca="1" si="407"/>
        <v>4.1888700000000014</v>
      </c>
      <c r="U943" s="311">
        <f t="shared" ca="1" si="408"/>
        <v>0</v>
      </c>
      <c r="V943" s="306">
        <f t="shared" ca="1" si="409"/>
        <v>1.2257285268905327</v>
      </c>
      <c r="W943" s="304">
        <f t="shared" ca="1" si="410"/>
        <v>3.5562508091668961</v>
      </c>
      <c r="Y943" s="314" t="str">
        <f t="shared" ca="1" si="428"/>
        <v/>
      </c>
      <c r="Z943" s="315" t="str">
        <f t="shared" ca="1" si="429"/>
        <v/>
      </c>
      <c r="AA943" s="316" t="str">
        <f t="shared" ca="1" si="430"/>
        <v/>
      </c>
      <c r="AC943" s="310" t="e">
        <f t="shared" ca="1" si="431"/>
        <v>#N/A</v>
      </c>
      <c r="AD943" s="323" t="e">
        <f t="shared" ca="1" si="432"/>
        <v>#N/A</v>
      </c>
      <c r="AE943" s="324" t="e">
        <f t="shared" ca="1" si="411"/>
        <v>#N/A</v>
      </c>
      <c r="AG943" s="306">
        <f t="shared" ca="1" si="433"/>
        <v>1.456830220010465</v>
      </c>
      <c r="AH943" s="304">
        <f t="shared" ca="1" si="434"/>
        <v>-8.3284055423794925</v>
      </c>
    </row>
    <row r="944" spans="1:34" x14ac:dyDescent="0.3">
      <c r="A944" s="347">
        <f t="shared" ca="1" si="412"/>
        <v>1E-4</v>
      </c>
      <c r="B944" s="304">
        <f t="shared" ca="1" si="413"/>
        <v>16.159899999999823</v>
      </c>
      <c r="D944" s="306">
        <f t="shared" ca="1" si="414"/>
        <v>-0.59139154798605698</v>
      </c>
      <c r="E944" s="307">
        <f t="shared" ca="1" si="415"/>
        <v>-1.5025672334164621</v>
      </c>
      <c r="F944" s="304">
        <f t="shared" ca="1" si="416"/>
        <v>1.6147607420191221</v>
      </c>
      <c r="G944" s="306">
        <f t="shared" ca="1" si="417"/>
        <v>3.7187993644845947</v>
      </c>
      <c r="H944" s="307">
        <f t="shared" ca="1" si="418"/>
        <v>-52.239934698400994</v>
      </c>
      <c r="I944" s="304">
        <f t="shared" ca="1" si="419"/>
        <v>52.372132341604072</v>
      </c>
      <c r="J944" s="306">
        <f t="shared" ca="1" si="420"/>
        <v>150.09587023194715</v>
      </c>
      <c r="K944" s="307">
        <f t="shared" ca="1" si="421"/>
        <v>-5.9506143671331735</v>
      </c>
      <c r="L944" s="304">
        <f t="shared" ca="1" si="406"/>
        <v>150.21378123205557</v>
      </c>
      <c r="M944" s="306">
        <f t="shared" ca="1" si="422"/>
        <v>-1.4997293040032822</v>
      </c>
      <c r="N944" s="304">
        <f t="shared" ca="1" si="423"/>
        <v>-85.92815953148046</v>
      </c>
      <c r="P944" s="310">
        <f t="shared" ca="1" si="424"/>
        <v>23</v>
      </c>
      <c r="Q944" s="304">
        <f t="shared" ca="1" si="425"/>
        <v>0</v>
      </c>
      <c r="R944" s="306">
        <f t="shared" ca="1" si="426"/>
        <v>0</v>
      </c>
      <c r="S944" s="307">
        <f t="shared" ca="1" si="427"/>
        <v>0.4270000000000001</v>
      </c>
      <c r="T944" s="304">
        <f t="shared" ca="1" si="407"/>
        <v>4.1888700000000014</v>
      </c>
      <c r="U944" s="311">
        <f t="shared" ca="1" si="408"/>
        <v>0</v>
      </c>
      <c r="V944" s="306">
        <f t="shared" ca="1" si="409"/>
        <v>1.2257291672096173</v>
      </c>
      <c r="W944" s="304">
        <f t="shared" ca="1" si="410"/>
        <v>3.5562724511440051</v>
      </c>
      <c r="Y944" s="314" t="str">
        <f t="shared" ca="1" si="428"/>
        <v/>
      </c>
      <c r="Z944" s="315" t="str">
        <f t="shared" ca="1" si="429"/>
        <v/>
      </c>
      <c r="AA944" s="316" t="str">
        <f t="shared" ca="1" si="430"/>
        <v/>
      </c>
      <c r="AC944" s="310" t="e">
        <f t="shared" ca="1" si="431"/>
        <v>#N/A</v>
      </c>
      <c r="AD944" s="323" t="e">
        <f t="shared" ca="1" si="432"/>
        <v>#N/A</v>
      </c>
      <c r="AE944" s="324" t="e">
        <f t="shared" ca="1" si="411"/>
        <v>#N/A</v>
      </c>
      <c r="AG944" s="306">
        <f t="shared" ca="1" si="433"/>
        <v>1.456780461390272</v>
      </c>
      <c r="AH944" s="304">
        <f t="shared" ca="1" si="434"/>
        <v>-8.3284562275571314</v>
      </c>
    </row>
    <row r="945" spans="1:34" x14ac:dyDescent="0.3">
      <c r="A945" s="347">
        <f t="shared" ca="1" si="412"/>
        <v>1E-4</v>
      </c>
      <c r="B945" s="304">
        <f t="shared" ca="1" si="413"/>
        <v>16.159999999999823</v>
      </c>
      <c r="D945" s="306">
        <f t="shared" ca="1" si="414"/>
        <v>-0.59138409730948982</v>
      </c>
      <c r="E945" s="307">
        <f t="shared" ca="1" si="415"/>
        <v>-1.5025158909716385</v>
      </c>
      <c r="F945" s="304">
        <f t="shared" ca="1" si="416"/>
        <v>1.6147102381457972</v>
      </c>
      <c r="G945" s="306">
        <f t="shared" ca="1" si="417"/>
        <v>3.7187402260748637</v>
      </c>
      <c r="H945" s="307">
        <f t="shared" ca="1" si="418"/>
        <v>-52.240084949990091</v>
      </c>
      <c r="I945" s="304">
        <f t="shared" ca="1" si="419"/>
        <v>52.372278014720813</v>
      </c>
      <c r="J945" s="306">
        <f t="shared" ca="1" si="420"/>
        <v>150.09587023194715</v>
      </c>
      <c r="K945" s="307">
        <f t="shared" ca="1" si="421"/>
        <v>-5.9558383681155931</v>
      </c>
      <c r="L945" s="304">
        <f t="shared" ca="1" si="406"/>
        <v>150.21398826791278</v>
      </c>
      <c r="M945" s="306">
        <f t="shared" ca="1" si="422"/>
        <v>-1.4997306340596115</v>
      </c>
      <c r="N945" s="304">
        <f t="shared" ca="1" si="423"/>
        <v>-85.928235738094656</v>
      </c>
      <c r="P945" s="310">
        <f t="shared" ca="1" si="424"/>
        <v>23</v>
      </c>
      <c r="Q945" s="304">
        <f t="shared" ca="1" si="425"/>
        <v>0</v>
      </c>
      <c r="R945" s="306">
        <f t="shared" ca="1" si="426"/>
        <v>0</v>
      </c>
      <c r="S945" s="307">
        <f t="shared" ca="1" si="427"/>
        <v>0.4270000000000001</v>
      </c>
      <c r="T945" s="304">
        <f t="shared" ca="1" si="407"/>
        <v>4.1888700000000014</v>
      </c>
      <c r="U945" s="311">
        <f t="shared" ca="1" si="408"/>
        <v>0</v>
      </c>
      <c r="V945" s="306">
        <f t="shared" ca="1" si="409"/>
        <v>1.2257298075308787</v>
      </c>
      <c r="W945" s="304">
        <f t="shared" ca="1" si="410"/>
        <v>3.5562940925273878</v>
      </c>
      <c r="Y945" s="314" t="str">
        <f t="shared" ca="1" si="428"/>
        <v/>
      </c>
      <c r="Z945" s="315" t="str">
        <f t="shared" ca="1" si="429"/>
        <v/>
      </c>
      <c r="AA945" s="316" t="str">
        <f t="shared" ca="1" si="430"/>
        <v/>
      </c>
      <c r="AC945" s="310" t="e">
        <f t="shared" ca="1" si="431"/>
        <v>#N/A</v>
      </c>
      <c r="AD945" s="323" t="e">
        <f t="shared" ca="1" si="432"/>
        <v>#N/A</v>
      </c>
      <c r="AE945" s="324" t="e">
        <f t="shared" ca="1" si="411"/>
        <v>#N/A</v>
      </c>
      <c r="AG945" s="306">
        <f t="shared" ca="1" si="433"/>
        <v>1.4567307041233732</v>
      </c>
      <c r="AH945" s="304">
        <f t="shared" ca="1" si="434"/>
        <v>-8.328506911344272</v>
      </c>
    </row>
    <row r="946" spans="1:34" x14ac:dyDescent="0.3">
      <c r="A946" s="347">
        <f t="shared" ca="1" si="412"/>
        <v>1E-4</v>
      </c>
      <c r="B946" s="304">
        <f t="shared" ca="1" si="413"/>
        <v>16.160099999999822</v>
      </c>
      <c r="D946" s="306">
        <f t="shared" ca="1" si="414"/>
        <v>-0.59137664663584455</v>
      </c>
      <c r="E946" s="307">
        <f t="shared" ca="1" si="415"/>
        <v>-1.5024645499357732</v>
      </c>
      <c r="F946" s="304">
        <f t="shared" ca="1" si="416"/>
        <v>1.6146597356718726</v>
      </c>
      <c r="G946" s="306">
        <f t="shared" ca="1" si="417"/>
        <v>3.7186810884102002</v>
      </c>
      <c r="H946" s="307">
        <f t="shared" ca="1" si="418"/>
        <v>-52.240235196445084</v>
      </c>
      <c r="I946" s="304">
        <f t="shared" ca="1" si="419"/>
        <v>52.37242368286195</v>
      </c>
      <c r="J946" s="306">
        <f t="shared" ca="1" si="420"/>
        <v>150.09587023194715</v>
      </c>
      <c r="K946" s="307">
        <f t="shared" ca="1" si="421"/>
        <v>-5.9610623841229149</v>
      </c>
      <c r="L946" s="304">
        <f t="shared" ca="1" si="406"/>
        <v>150.21419548575602</v>
      </c>
      <c r="M946" s="306">
        <f t="shared" ca="1" si="422"/>
        <v>-1.4997319640873905</v>
      </c>
      <c r="N946" s="304">
        <f t="shared" ca="1" si="423"/>
        <v>-85.928311943073027</v>
      </c>
      <c r="P946" s="310">
        <f t="shared" ca="1" si="424"/>
        <v>23</v>
      </c>
      <c r="Q946" s="304">
        <f t="shared" ca="1" si="425"/>
        <v>0</v>
      </c>
      <c r="R946" s="306">
        <f t="shared" ca="1" si="426"/>
        <v>0</v>
      </c>
      <c r="S946" s="307">
        <f t="shared" ca="1" si="427"/>
        <v>0.4270000000000001</v>
      </c>
      <c r="T946" s="304">
        <f t="shared" ca="1" si="407"/>
        <v>4.1888700000000014</v>
      </c>
      <c r="U946" s="311">
        <f t="shared" ca="1" si="408"/>
        <v>0</v>
      </c>
      <c r="V946" s="306">
        <f t="shared" ca="1" si="409"/>
        <v>1.2257304478543163</v>
      </c>
      <c r="W946" s="304">
        <f t="shared" ca="1" si="410"/>
        <v>3.5563157333170521</v>
      </c>
      <c r="Y946" s="314" t="str">
        <f t="shared" ca="1" si="428"/>
        <v/>
      </c>
      <c r="Z946" s="315" t="str">
        <f t="shared" ca="1" si="429"/>
        <v/>
      </c>
      <c r="AA946" s="316" t="str">
        <f t="shared" ca="1" si="430"/>
        <v/>
      </c>
      <c r="AC946" s="310" t="e">
        <f t="shared" ca="1" si="431"/>
        <v>#N/A</v>
      </c>
      <c r="AD946" s="323" t="e">
        <f t="shared" ca="1" si="432"/>
        <v>#N/A</v>
      </c>
      <c r="AE946" s="324" t="e">
        <f t="shared" ca="1" si="411"/>
        <v>#N/A</v>
      </c>
      <c r="AG946" s="306">
        <f t="shared" ca="1" si="433"/>
        <v>1.4566809482097369</v>
      </c>
      <c r="AH946" s="304">
        <f t="shared" ca="1" si="434"/>
        <v>-8.3285575937409533</v>
      </c>
    </row>
    <row r="947" spans="1:34" x14ac:dyDescent="0.3">
      <c r="A947" s="347">
        <f t="shared" ca="1" si="412"/>
        <v>1E-4</v>
      </c>
      <c r="B947" s="304">
        <f t="shared" ca="1" si="413"/>
        <v>16.160199999999822</v>
      </c>
      <c r="D947" s="306">
        <f t="shared" ca="1" si="414"/>
        <v>-0.5913691959651286</v>
      </c>
      <c r="E947" s="307">
        <f t="shared" ca="1" si="415"/>
        <v>-1.5024132103088466</v>
      </c>
      <c r="F947" s="304">
        <f t="shared" ca="1" si="416"/>
        <v>1.6146092345973304</v>
      </c>
      <c r="G947" s="306">
        <f t="shared" ca="1" si="417"/>
        <v>3.7186219514906038</v>
      </c>
      <c r="H947" s="307">
        <f t="shared" ca="1" si="418"/>
        <v>-52.240385437766115</v>
      </c>
      <c r="I947" s="304">
        <f t="shared" ca="1" si="419"/>
        <v>52.372569346027632</v>
      </c>
      <c r="J947" s="306">
        <f t="shared" ca="1" si="420"/>
        <v>150.09587023194715</v>
      </c>
      <c r="K947" s="307">
        <f t="shared" ca="1" si="421"/>
        <v>-5.9662864151546255</v>
      </c>
      <c r="L947" s="304">
        <f t="shared" ca="1" si="406"/>
        <v>150.21440288558608</v>
      </c>
      <c r="M947" s="306">
        <f t="shared" ca="1" si="422"/>
        <v>-1.4997332940866204</v>
      </c>
      <c r="N947" s="304">
        <f t="shared" ca="1" si="423"/>
        <v>-85.928388146415656</v>
      </c>
      <c r="P947" s="310">
        <f t="shared" ca="1" si="424"/>
        <v>23</v>
      </c>
      <c r="Q947" s="304">
        <f t="shared" ca="1" si="425"/>
        <v>0</v>
      </c>
      <c r="R947" s="306">
        <f t="shared" ca="1" si="426"/>
        <v>0</v>
      </c>
      <c r="S947" s="307">
        <f t="shared" ca="1" si="427"/>
        <v>0.4270000000000001</v>
      </c>
      <c r="T947" s="304">
        <f t="shared" ca="1" si="407"/>
        <v>4.1888700000000014</v>
      </c>
      <c r="U947" s="311">
        <f t="shared" ca="1" si="408"/>
        <v>0</v>
      </c>
      <c r="V947" s="306">
        <f t="shared" ca="1" si="409"/>
        <v>1.2257310881799302</v>
      </c>
      <c r="W947" s="304">
        <f t="shared" ca="1" si="410"/>
        <v>3.5563373735130113</v>
      </c>
      <c r="Y947" s="314" t="str">
        <f t="shared" ca="1" si="428"/>
        <v/>
      </c>
      <c r="Z947" s="315" t="str">
        <f t="shared" ca="1" si="429"/>
        <v/>
      </c>
      <c r="AA947" s="316" t="str">
        <f t="shared" ca="1" si="430"/>
        <v/>
      </c>
      <c r="AC947" s="310" t="e">
        <f t="shared" ca="1" si="431"/>
        <v>#N/A</v>
      </c>
      <c r="AD947" s="323" t="e">
        <f t="shared" ca="1" si="432"/>
        <v>#N/A</v>
      </c>
      <c r="AE947" s="324" t="e">
        <f t="shared" ca="1" si="411"/>
        <v>#N/A</v>
      </c>
      <c r="AG947" s="306">
        <f t="shared" ca="1" si="433"/>
        <v>1.4566311936493435</v>
      </c>
      <c r="AH947" s="304">
        <f t="shared" ca="1" si="434"/>
        <v>-8.328608274747193</v>
      </c>
    </row>
    <row r="948" spans="1:34" x14ac:dyDescent="0.3">
      <c r="A948" s="347">
        <f t="shared" ca="1" si="412"/>
        <v>1E-4</v>
      </c>
      <c r="B948" s="304">
        <f t="shared" ca="1" si="413"/>
        <v>16.160299999999822</v>
      </c>
      <c r="D948" s="306">
        <f t="shared" ca="1" si="414"/>
        <v>-0.59136174529734509</v>
      </c>
      <c r="E948" s="307">
        <f t="shared" ca="1" si="415"/>
        <v>-1.5023618720908285</v>
      </c>
      <c r="F948" s="304">
        <f t="shared" ca="1" si="416"/>
        <v>1.6145587349221397</v>
      </c>
      <c r="G948" s="306">
        <f t="shared" ca="1" si="417"/>
        <v>3.7185628153160741</v>
      </c>
      <c r="H948" s="307">
        <f t="shared" ca="1" si="418"/>
        <v>-52.240535673953325</v>
      </c>
      <c r="I948" s="304">
        <f t="shared" ca="1" si="419"/>
        <v>52.372715004218001</v>
      </c>
      <c r="J948" s="306">
        <f t="shared" ca="1" si="420"/>
        <v>150.09587023194715</v>
      </c>
      <c r="K948" s="307">
        <f t="shared" ca="1" si="421"/>
        <v>-5.9715104612102117</v>
      </c>
      <c r="L948" s="304">
        <f t="shared" ca="1" si="406"/>
        <v>150.21461046740379</v>
      </c>
      <c r="M948" s="306">
        <f t="shared" ca="1" si="422"/>
        <v>-1.4997346240573017</v>
      </c>
      <c r="N948" s="304">
        <f t="shared" ca="1" si="423"/>
        <v>-85.928464348122574</v>
      </c>
      <c r="P948" s="310">
        <f t="shared" ca="1" si="424"/>
        <v>23</v>
      </c>
      <c r="Q948" s="304">
        <f t="shared" ca="1" si="425"/>
        <v>0</v>
      </c>
      <c r="R948" s="306">
        <f t="shared" ca="1" si="426"/>
        <v>0</v>
      </c>
      <c r="S948" s="307">
        <f t="shared" ca="1" si="427"/>
        <v>0.4270000000000001</v>
      </c>
      <c r="T948" s="304">
        <f t="shared" ca="1" si="407"/>
        <v>4.1888700000000014</v>
      </c>
      <c r="U948" s="311">
        <f t="shared" ca="1" si="408"/>
        <v>0</v>
      </c>
      <c r="V948" s="306">
        <f t="shared" ca="1" si="409"/>
        <v>1.2257317285077205</v>
      </c>
      <c r="W948" s="304">
        <f t="shared" ca="1" si="410"/>
        <v>3.5563590131152805</v>
      </c>
      <c r="Y948" s="314" t="str">
        <f t="shared" ca="1" si="428"/>
        <v/>
      </c>
      <c r="Z948" s="315" t="str">
        <f t="shared" ca="1" si="429"/>
        <v/>
      </c>
      <c r="AA948" s="316" t="str">
        <f t="shared" ca="1" si="430"/>
        <v/>
      </c>
      <c r="AC948" s="310" t="e">
        <f t="shared" ca="1" si="431"/>
        <v>#N/A</v>
      </c>
      <c r="AD948" s="323" t="e">
        <f t="shared" ca="1" si="432"/>
        <v>#N/A</v>
      </c>
      <c r="AE948" s="324" t="e">
        <f t="shared" ca="1" si="411"/>
        <v>#N/A</v>
      </c>
      <c r="AG948" s="306">
        <f t="shared" ca="1" si="433"/>
        <v>1.4565814404421698</v>
      </c>
      <c r="AH948" s="304">
        <f t="shared" ca="1" si="434"/>
        <v>-8.3286589543630214</v>
      </c>
    </row>
    <row r="949" spans="1:34" x14ac:dyDescent="0.3">
      <c r="A949" s="347">
        <f t="shared" ca="1" si="412"/>
        <v>1E-4</v>
      </c>
      <c r="B949" s="304">
        <f t="shared" ca="1" si="413"/>
        <v>16.160399999999822</v>
      </c>
      <c r="D949" s="306">
        <f t="shared" ca="1" si="414"/>
        <v>-0.591354294632501</v>
      </c>
      <c r="E949" s="307">
        <f t="shared" ca="1" si="415"/>
        <v>-1.5023105352816781</v>
      </c>
      <c r="F949" s="304">
        <f t="shared" ca="1" si="416"/>
        <v>1.6145082366462629</v>
      </c>
      <c r="G949" s="306">
        <f t="shared" ca="1" si="417"/>
        <v>3.7185036798866107</v>
      </c>
      <c r="H949" s="307">
        <f t="shared" ca="1" si="418"/>
        <v>-52.240685905006856</v>
      </c>
      <c r="I949" s="304">
        <f t="shared" ca="1" si="419"/>
        <v>52.372860657433179</v>
      </c>
      <c r="J949" s="306">
        <f t="shared" ca="1" si="420"/>
        <v>150.09587023194715</v>
      </c>
      <c r="K949" s="307">
        <f t="shared" ca="1" si="421"/>
        <v>-5.9767345222891599</v>
      </c>
      <c r="L949" s="304">
        <f t="shared" ca="1" si="406"/>
        <v>150.21481823120993</v>
      </c>
      <c r="M949" s="306">
        <f t="shared" ca="1" si="422"/>
        <v>-1.4997359539994355</v>
      </c>
      <c r="N949" s="304">
        <f t="shared" ca="1" si="423"/>
        <v>-85.928540548193823</v>
      </c>
      <c r="P949" s="310">
        <f t="shared" ca="1" si="424"/>
        <v>23</v>
      </c>
      <c r="Q949" s="304">
        <f t="shared" ca="1" si="425"/>
        <v>0</v>
      </c>
      <c r="R949" s="306">
        <f t="shared" ca="1" si="426"/>
        <v>0</v>
      </c>
      <c r="S949" s="307">
        <f t="shared" ca="1" si="427"/>
        <v>0.4270000000000001</v>
      </c>
      <c r="T949" s="304">
        <f t="shared" ca="1" si="407"/>
        <v>4.1888700000000014</v>
      </c>
      <c r="U949" s="311">
        <f t="shared" ca="1" si="408"/>
        <v>0</v>
      </c>
      <c r="V949" s="306">
        <f t="shared" ca="1" si="409"/>
        <v>1.2257323688376864</v>
      </c>
      <c r="W949" s="304">
        <f t="shared" ca="1" si="410"/>
        <v>3.556380652123865</v>
      </c>
      <c r="Y949" s="314" t="str">
        <f t="shared" ca="1" si="428"/>
        <v/>
      </c>
      <c r="Z949" s="315" t="str">
        <f t="shared" ca="1" si="429"/>
        <v/>
      </c>
      <c r="AA949" s="316" t="str">
        <f t="shared" ca="1" si="430"/>
        <v/>
      </c>
      <c r="AC949" s="310" t="e">
        <f t="shared" ca="1" si="431"/>
        <v>#N/A</v>
      </c>
      <c r="AD949" s="323" t="e">
        <f t="shared" ca="1" si="432"/>
        <v>#N/A</v>
      </c>
      <c r="AE949" s="324" t="e">
        <f t="shared" ca="1" si="411"/>
        <v>#N/A</v>
      </c>
      <c r="AG949" s="306">
        <f t="shared" ca="1" si="433"/>
        <v>1.4565316885881696</v>
      </c>
      <c r="AH949" s="304">
        <f t="shared" ca="1" si="434"/>
        <v>-8.3287096325884775</v>
      </c>
    </row>
    <row r="950" spans="1:34" x14ac:dyDescent="0.3">
      <c r="A950" s="347">
        <f t="shared" ca="1" si="412"/>
        <v>1E-4</v>
      </c>
      <c r="B950" s="304">
        <f t="shared" ca="1" si="413"/>
        <v>16.160499999999821</v>
      </c>
      <c r="D950" s="306">
        <f t="shared" ca="1" si="414"/>
        <v>-0.59134684397059945</v>
      </c>
      <c r="E950" s="307">
        <f t="shared" ca="1" si="415"/>
        <v>-1.5022591998813901</v>
      </c>
      <c r="F950" s="304">
        <f t="shared" ca="1" si="416"/>
        <v>1.6144577397696922</v>
      </c>
      <c r="G950" s="306">
        <f t="shared" ca="1" si="417"/>
        <v>3.7184445452022135</v>
      </c>
      <c r="H950" s="307">
        <f t="shared" ca="1" si="418"/>
        <v>-52.240836130926844</v>
      </c>
      <c r="I950" s="304">
        <f t="shared" ca="1" si="419"/>
        <v>52.373006305673307</v>
      </c>
      <c r="J950" s="306">
        <f t="shared" ca="1" si="420"/>
        <v>150.09587023194715</v>
      </c>
      <c r="K950" s="307">
        <f t="shared" ca="1" si="421"/>
        <v>-5.9819585983909569</v>
      </c>
      <c r="L950" s="304">
        <f t="shared" ca="1" si="406"/>
        <v>150.21502617700526</v>
      </c>
      <c r="M950" s="306">
        <f t="shared" ca="1" si="422"/>
        <v>-1.4997372839130223</v>
      </c>
      <c r="N950" s="304">
        <f t="shared" ca="1" si="423"/>
        <v>-85.928616746629473</v>
      </c>
      <c r="P950" s="310">
        <f t="shared" ca="1" si="424"/>
        <v>23</v>
      </c>
      <c r="Q950" s="304">
        <f t="shared" ca="1" si="425"/>
        <v>0</v>
      </c>
      <c r="R950" s="306">
        <f t="shared" ca="1" si="426"/>
        <v>0</v>
      </c>
      <c r="S950" s="307">
        <f t="shared" ca="1" si="427"/>
        <v>0.4270000000000001</v>
      </c>
      <c r="T950" s="304">
        <f t="shared" ca="1" si="407"/>
        <v>4.1888700000000014</v>
      </c>
      <c r="U950" s="311">
        <f t="shared" ca="1" si="408"/>
        <v>0</v>
      </c>
      <c r="V950" s="306">
        <f t="shared" ca="1" si="409"/>
        <v>1.225733009169828</v>
      </c>
      <c r="W950" s="304">
        <f t="shared" ca="1" si="410"/>
        <v>3.5564022905387791</v>
      </c>
      <c r="Y950" s="314" t="str">
        <f t="shared" ca="1" si="428"/>
        <v/>
      </c>
      <c r="Z950" s="315" t="str">
        <f t="shared" ca="1" si="429"/>
        <v/>
      </c>
      <c r="AA950" s="316" t="str">
        <f t="shared" ca="1" si="430"/>
        <v/>
      </c>
      <c r="AC950" s="310" t="e">
        <f t="shared" ca="1" si="431"/>
        <v>#N/A</v>
      </c>
      <c r="AD950" s="323" t="e">
        <f t="shared" ca="1" si="432"/>
        <v>#N/A</v>
      </c>
      <c r="AE950" s="324" t="e">
        <f t="shared" ca="1" si="411"/>
        <v>#N/A</v>
      </c>
      <c r="AG950" s="306">
        <f t="shared" ca="1" si="433"/>
        <v>1.4564819380873431</v>
      </c>
      <c r="AH950" s="304">
        <f t="shared" ca="1" si="434"/>
        <v>-8.3287603094235703</v>
      </c>
    </row>
    <row r="951" spans="1:34" x14ac:dyDescent="0.3">
      <c r="A951" s="347">
        <f t="shared" ca="1" si="412"/>
        <v>1E-4</v>
      </c>
      <c r="B951" s="304">
        <f t="shared" ca="1" si="413"/>
        <v>16.160599999999821</v>
      </c>
      <c r="D951" s="306">
        <f t="shared" ca="1" si="414"/>
        <v>-0.5913393933116472</v>
      </c>
      <c r="E951" s="307">
        <f t="shared" ca="1" si="415"/>
        <v>-1.5022078658899254</v>
      </c>
      <c r="F951" s="304">
        <f t="shared" ca="1" si="416"/>
        <v>1.6144072442923909</v>
      </c>
      <c r="G951" s="306">
        <f t="shared" ca="1" si="417"/>
        <v>3.7183854112628825</v>
      </c>
      <c r="H951" s="307">
        <f t="shared" ca="1" si="418"/>
        <v>-52.240986351713431</v>
      </c>
      <c r="I951" s="304">
        <f t="shared" ca="1" si="419"/>
        <v>52.373151948938514</v>
      </c>
      <c r="J951" s="306">
        <f t="shared" ca="1" si="420"/>
        <v>150.09587023194715</v>
      </c>
      <c r="K951" s="307">
        <f t="shared" ca="1" si="421"/>
        <v>-5.9871826895150893</v>
      </c>
      <c r="L951" s="304">
        <f t="shared" ca="1" si="406"/>
        <v>150.21523430479061</v>
      </c>
      <c r="M951" s="306">
        <f t="shared" ca="1" si="422"/>
        <v>-1.4997386137980631</v>
      </c>
      <c r="N951" s="304">
        <f t="shared" ca="1" si="423"/>
        <v>-85.928692943429539</v>
      </c>
      <c r="P951" s="310">
        <f t="shared" ca="1" si="424"/>
        <v>23</v>
      </c>
      <c r="Q951" s="304">
        <f t="shared" ca="1" si="425"/>
        <v>0</v>
      </c>
      <c r="R951" s="306">
        <f t="shared" ca="1" si="426"/>
        <v>0</v>
      </c>
      <c r="S951" s="307">
        <f t="shared" ca="1" si="427"/>
        <v>0.4270000000000001</v>
      </c>
      <c r="T951" s="304">
        <f t="shared" ca="1" si="407"/>
        <v>4.1888700000000014</v>
      </c>
      <c r="U951" s="311">
        <f t="shared" ca="1" si="408"/>
        <v>0</v>
      </c>
      <c r="V951" s="306">
        <f t="shared" ca="1" si="409"/>
        <v>1.2257336495041462</v>
      </c>
      <c r="W951" s="304">
        <f t="shared" ca="1" si="410"/>
        <v>3.5564239283600356</v>
      </c>
      <c r="Y951" s="314" t="str">
        <f t="shared" ca="1" si="428"/>
        <v/>
      </c>
      <c r="Z951" s="315" t="str">
        <f t="shared" ca="1" si="429"/>
        <v/>
      </c>
      <c r="AA951" s="316" t="str">
        <f t="shared" ca="1" si="430"/>
        <v/>
      </c>
      <c r="AC951" s="310" t="e">
        <f t="shared" ca="1" si="431"/>
        <v>#N/A</v>
      </c>
      <c r="AD951" s="323" t="e">
        <f t="shared" ca="1" si="432"/>
        <v>#N/A</v>
      </c>
      <c r="AE951" s="324" t="e">
        <f t="shared" ca="1" si="411"/>
        <v>#N/A</v>
      </c>
      <c r="AG951" s="306">
        <f t="shared" ca="1" si="433"/>
        <v>1.4564321889396545</v>
      </c>
      <c r="AH951" s="304">
        <f t="shared" ca="1" si="434"/>
        <v>-8.3288109848683334</v>
      </c>
    </row>
    <row r="952" spans="1:34" x14ac:dyDescent="0.3">
      <c r="A952" s="347">
        <f t="shared" ca="1" si="412"/>
        <v>1E-4</v>
      </c>
      <c r="B952" s="304">
        <f t="shared" ca="1" si="413"/>
        <v>16.160699999999821</v>
      </c>
      <c r="D952" s="306">
        <f t="shared" ca="1" si="414"/>
        <v>-0.59133194265564948</v>
      </c>
      <c r="E952" s="307">
        <f t="shared" ca="1" si="415"/>
        <v>-1.5021565333072555</v>
      </c>
      <c r="F952" s="304">
        <f t="shared" ca="1" si="416"/>
        <v>1.614356750214331</v>
      </c>
      <c r="G952" s="306">
        <f t="shared" ca="1" si="417"/>
        <v>3.7183262780686168</v>
      </c>
      <c r="H952" s="307">
        <f t="shared" ca="1" si="418"/>
        <v>-52.241136567366759</v>
      </c>
      <c r="I952" s="304">
        <f t="shared" ca="1" si="419"/>
        <v>52.373297587228933</v>
      </c>
      <c r="J952" s="306">
        <f t="shared" ca="1" si="420"/>
        <v>150.09587023194715</v>
      </c>
      <c r="K952" s="307">
        <f t="shared" ca="1" si="421"/>
        <v>-5.9924067956610436</v>
      </c>
      <c r="L952" s="304">
        <f t="shared" ca="1" si="406"/>
        <v>150.21544261456677</v>
      </c>
      <c r="M952" s="306">
        <f t="shared" ca="1" si="422"/>
        <v>-1.4997399436545586</v>
      </c>
      <c r="N952" s="304">
        <f t="shared" ca="1" si="423"/>
        <v>-85.928769138594092</v>
      </c>
      <c r="P952" s="310">
        <f t="shared" ca="1" si="424"/>
        <v>23</v>
      </c>
      <c r="Q952" s="304">
        <f t="shared" ca="1" si="425"/>
        <v>0</v>
      </c>
      <c r="R952" s="306">
        <f t="shared" ca="1" si="426"/>
        <v>0</v>
      </c>
      <c r="S952" s="307">
        <f t="shared" ca="1" si="427"/>
        <v>0.4270000000000001</v>
      </c>
      <c r="T952" s="304">
        <f t="shared" ca="1" si="407"/>
        <v>4.1888700000000014</v>
      </c>
      <c r="U952" s="311">
        <f t="shared" ca="1" si="408"/>
        <v>0</v>
      </c>
      <c r="V952" s="306">
        <f t="shared" ca="1" si="409"/>
        <v>1.22573428984064</v>
      </c>
      <c r="W952" s="304">
        <f t="shared" ca="1" si="410"/>
        <v>3.5564455655876444</v>
      </c>
      <c r="Y952" s="314" t="str">
        <f t="shared" ca="1" si="428"/>
        <v/>
      </c>
      <c r="Z952" s="315" t="str">
        <f t="shared" ca="1" si="429"/>
        <v/>
      </c>
      <c r="AA952" s="316" t="str">
        <f t="shared" ca="1" si="430"/>
        <v/>
      </c>
      <c r="AC952" s="310" t="e">
        <f t="shared" ca="1" si="431"/>
        <v>#N/A</v>
      </c>
      <c r="AD952" s="323" t="e">
        <f t="shared" ca="1" si="432"/>
        <v>#N/A</v>
      </c>
      <c r="AE952" s="324" t="e">
        <f t="shared" ca="1" si="411"/>
        <v>#N/A</v>
      </c>
      <c r="AG952" s="306">
        <f t="shared" ca="1" si="433"/>
        <v>1.4563824411450756</v>
      </c>
      <c r="AH952" s="304">
        <f t="shared" ca="1" si="434"/>
        <v>-8.3288616589227988</v>
      </c>
    </row>
    <row r="953" spans="1:34" x14ac:dyDescent="0.3">
      <c r="A953" s="347">
        <f t="shared" ca="1" si="412"/>
        <v>1E-4</v>
      </c>
      <c r="B953" s="304">
        <f t="shared" ca="1" si="413"/>
        <v>16.160799999999821</v>
      </c>
      <c r="D953" s="306">
        <f t="shared" ca="1" si="414"/>
        <v>-0.59132449200260984</v>
      </c>
      <c r="E953" s="307">
        <f t="shared" ca="1" si="415"/>
        <v>-1.5021052021333556</v>
      </c>
      <c r="F953" s="304">
        <f t="shared" ca="1" si="416"/>
        <v>1.6143062575354881</v>
      </c>
      <c r="G953" s="306">
        <f t="shared" ca="1" si="417"/>
        <v>3.7182671456194165</v>
      </c>
      <c r="H953" s="307">
        <f t="shared" ca="1" si="418"/>
        <v>-52.24128677788697</v>
      </c>
      <c r="I953" s="304">
        <f t="shared" ca="1" si="419"/>
        <v>52.373443220544708</v>
      </c>
      <c r="J953" s="306">
        <f t="shared" ca="1" si="420"/>
        <v>150.09587023194715</v>
      </c>
      <c r="K953" s="307">
        <f t="shared" ca="1" si="421"/>
        <v>-5.9976309168283066</v>
      </c>
      <c r="L953" s="304">
        <f t="shared" ca="1" si="406"/>
        <v>150.21565110633449</v>
      </c>
      <c r="M953" s="306">
        <f t="shared" ca="1" si="422"/>
        <v>-1.49974127348251</v>
      </c>
      <c r="N953" s="304">
        <f t="shared" ca="1" si="423"/>
        <v>-85.928845332123188</v>
      </c>
      <c r="P953" s="310">
        <f t="shared" ca="1" si="424"/>
        <v>23</v>
      </c>
      <c r="Q953" s="304">
        <f t="shared" ca="1" si="425"/>
        <v>0</v>
      </c>
      <c r="R953" s="306">
        <f t="shared" ca="1" si="426"/>
        <v>0</v>
      </c>
      <c r="S953" s="307">
        <f t="shared" ca="1" si="427"/>
        <v>0.4270000000000001</v>
      </c>
      <c r="T953" s="304">
        <f t="shared" ca="1" si="407"/>
        <v>4.1888700000000014</v>
      </c>
      <c r="U953" s="311">
        <f t="shared" ca="1" si="408"/>
        <v>0</v>
      </c>
      <c r="V953" s="306">
        <f t="shared" ca="1" si="409"/>
        <v>1.2257349301793095</v>
      </c>
      <c r="W953" s="304">
        <f t="shared" ca="1" si="410"/>
        <v>3.5564672022216164</v>
      </c>
      <c r="Y953" s="314" t="str">
        <f t="shared" ca="1" si="428"/>
        <v/>
      </c>
      <c r="Z953" s="315" t="str">
        <f t="shared" ca="1" si="429"/>
        <v/>
      </c>
      <c r="AA953" s="316" t="str">
        <f t="shared" ca="1" si="430"/>
        <v/>
      </c>
      <c r="AC953" s="310" t="e">
        <f t="shared" ca="1" si="431"/>
        <v>#N/A</v>
      </c>
      <c r="AD953" s="323" t="e">
        <f t="shared" ca="1" si="432"/>
        <v>#N/A</v>
      </c>
      <c r="AE953" s="324" t="e">
        <f t="shared" ca="1" si="411"/>
        <v>#N/A</v>
      </c>
      <c r="AG953" s="306">
        <f t="shared" ca="1" si="433"/>
        <v>1.4563326947035851</v>
      </c>
      <c r="AH953" s="304">
        <f t="shared" ca="1" si="434"/>
        <v>-8.328912331586988</v>
      </c>
    </row>
    <row r="954" spans="1:34" x14ac:dyDescent="0.3">
      <c r="A954" s="347">
        <f t="shared" ca="1" si="412"/>
        <v>1E-4</v>
      </c>
      <c r="B954" s="304">
        <f t="shared" ca="1" si="413"/>
        <v>16.16089999999982</v>
      </c>
      <c r="D954" s="306">
        <f t="shared" ca="1" si="414"/>
        <v>-0.59131704135253293</v>
      </c>
      <c r="E954" s="307">
        <f t="shared" ca="1" si="415"/>
        <v>-1.5020538723682044</v>
      </c>
      <c r="F954" s="304">
        <f t="shared" ca="1" si="416"/>
        <v>1.6142557662558408</v>
      </c>
      <c r="G954" s="306">
        <f t="shared" ca="1" si="417"/>
        <v>3.7182080139152811</v>
      </c>
      <c r="H954" s="307">
        <f t="shared" ca="1" si="418"/>
        <v>-52.241436983274205</v>
      </c>
      <c r="I954" s="304">
        <f t="shared" ca="1" si="419"/>
        <v>52.37358884888598</v>
      </c>
      <c r="J954" s="306">
        <f t="shared" ca="1" si="420"/>
        <v>150.09587023194715</v>
      </c>
      <c r="K954" s="307">
        <f t="shared" ca="1" si="421"/>
        <v>-6.0028550530163649</v>
      </c>
      <c r="L954" s="304">
        <f t="shared" ca="1" si="406"/>
        <v>150.2158597800946</v>
      </c>
      <c r="M954" s="306">
        <f t="shared" ca="1" si="422"/>
        <v>-1.4997426032819174</v>
      </c>
      <c r="N954" s="304">
        <f t="shared" ca="1" si="423"/>
        <v>-85.928921524016829</v>
      </c>
      <c r="P954" s="310">
        <f t="shared" ca="1" si="424"/>
        <v>23</v>
      </c>
      <c r="Q954" s="304">
        <f t="shared" ca="1" si="425"/>
        <v>0</v>
      </c>
      <c r="R954" s="306">
        <f t="shared" ca="1" si="426"/>
        <v>0</v>
      </c>
      <c r="S954" s="307">
        <f t="shared" ca="1" si="427"/>
        <v>0.4270000000000001</v>
      </c>
      <c r="T954" s="304">
        <f t="shared" ca="1" si="407"/>
        <v>4.1888700000000014</v>
      </c>
      <c r="U954" s="311">
        <f t="shared" ca="1" si="408"/>
        <v>0</v>
      </c>
      <c r="V954" s="306">
        <f t="shared" ca="1" si="409"/>
        <v>1.2257355705201551</v>
      </c>
      <c r="W954" s="304">
        <f t="shared" ca="1" si="410"/>
        <v>3.5564888382619699</v>
      </c>
      <c r="Y954" s="314" t="str">
        <f t="shared" ca="1" si="428"/>
        <v/>
      </c>
      <c r="Z954" s="315" t="str">
        <f t="shared" ca="1" si="429"/>
        <v/>
      </c>
      <c r="AA954" s="316" t="str">
        <f t="shared" ca="1" si="430"/>
        <v/>
      </c>
      <c r="AC954" s="310" t="e">
        <f t="shared" ca="1" si="431"/>
        <v>#N/A</v>
      </c>
      <c r="AD954" s="323" t="e">
        <f t="shared" ca="1" si="432"/>
        <v>#N/A</v>
      </c>
      <c r="AE954" s="324" t="e">
        <f t="shared" ca="1" si="411"/>
        <v>#N/A</v>
      </c>
      <c r="AG954" s="306">
        <f t="shared" ca="1" si="433"/>
        <v>1.4562829496151597</v>
      </c>
      <c r="AH954" s="304">
        <f t="shared" ca="1" si="434"/>
        <v>-8.3289630028609256</v>
      </c>
    </row>
    <row r="955" spans="1:34" x14ac:dyDescent="0.3">
      <c r="A955" s="347">
        <f t="shared" ca="1" si="412"/>
        <v>1E-4</v>
      </c>
      <c r="B955" s="304">
        <f t="shared" ca="1" si="413"/>
        <v>16.16099999999982</v>
      </c>
      <c r="D955" s="306">
        <f t="shared" ca="1" si="414"/>
        <v>-0.5913095907054281</v>
      </c>
      <c r="E955" s="307">
        <f t="shared" ca="1" si="415"/>
        <v>-1.5020025440117504</v>
      </c>
      <c r="F955" s="304">
        <f t="shared" ca="1" si="416"/>
        <v>1.6142052763753409</v>
      </c>
      <c r="G955" s="306">
        <f t="shared" ca="1" si="417"/>
        <v>3.7181488829562106</v>
      </c>
      <c r="H955" s="307">
        <f t="shared" ca="1" si="418"/>
        <v>-52.241587183528608</v>
      </c>
      <c r="I955" s="304">
        <f t="shared" ca="1" si="419"/>
        <v>52.373734472252877</v>
      </c>
      <c r="J955" s="306">
        <f t="shared" ca="1" si="420"/>
        <v>150.09587023194715</v>
      </c>
      <c r="K955" s="307">
        <f t="shared" ca="1" si="421"/>
        <v>-6.0080792042247051</v>
      </c>
      <c r="L955" s="304">
        <f t="shared" ca="1" si="406"/>
        <v>150.21606863584785</v>
      </c>
      <c r="M955" s="306">
        <f t="shared" ca="1" si="422"/>
        <v>-1.4997439330527822</v>
      </c>
      <c r="N955" s="304">
        <f t="shared" ca="1" si="423"/>
        <v>-85.928997714275098</v>
      </c>
      <c r="P955" s="310">
        <f t="shared" ca="1" si="424"/>
        <v>23</v>
      </c>
      <c r="Q955" s="304">
        <f t="shared" ca="1" si="425"/>
        <v>0</v>
      </c>
      <c r="R955" s="306">
        <f t="shared" ca="1" si="426"/>
        <v>0</v>
      </c>
      <c r="S955" s="307">
        <f t="shared" ca="1" si="427"/>
        <v>0.4270000000000001</v>
      </c>
      <c r="T955" s="304">
        <f t="shared" ca="1" si="407"/>
        <v>4.1888700000000014</v>
      </c>
      <c r="U955" s="311">
        <f t="shared" ca="1" si="408"/>
        <v>0</v>
      </c>
      <c r="V955" s="306">
        <f t="shared" ca="1" si="409"/>
        <v>1.2257362108631764</v>
      </c>
      <c r="W955" s="304">
        <f t="shared" ca="1" si="410"/>
        <v>3.5565104737087099</v>
      </c>
      <c r="Y955" s="314" t="str">
        <f t="shared" ca="1" si="428"/>
        <v/>
      </c>
      <c r="Z955" s="315" t="str">
        <f t="shared" ca="1" si="429"/>
        <v/>
      </c>
      <c r="AA955" s="316" t="str">
        <f t="shared" ca="1" si="430"/>
        <v/>
      </c>
      <c r="AC955" s="310" t="e">
        <f t="shared" ca="1" si="431"/>
        <v>#N/A</v>
      </c>
      <c r="AD955" s="323" t="e">
        <f t="shared" ca="1" si="432"/>
        <v>#N/A</v>
      </c>
      <c r="AE955" s="324" t="e">
        <f t="shared" ca="1" si="411"/>
        <v>#N/A</v>
      </c>
      <c r="AG955" s="306">
        <f t="shared" ca="1" si="433"/>
        <v>1.4562332058797569</v>
      </c>
      <c r="AH955" s="304">
        <f t="shared" ca="1" si="434"/>
        <v>-8.329013672744658</v>
      </c>
    </row>
    <row r="956" spans="1:34" x14ac:dyDescent="0.3">
      <c r="A956" s="347">
        <f t="shared" ca="1" si="412"/>
        <v>1E-4</v>
      </c>
      <c r="B956" s="304">
        <f t="shared" ca="1" si="413"/>
        <v>16.16109999999982</v>
      </c>
      <c r="D956" s="306">
        <f t="shared" ca="1" si="414"/>
        <v>-0.59130214006129678</v>
      </c>
      <c r="E956" s="307">
        <f t="shared" ca="1" si="415"/>
        <v>-1.5019512170639882</v>
      </c>
      <c r="F956" s="304">
        <f t="shared" ca="1" si="416"/>
        <v>1.6141547878939815</v>
      </c>
      <c r="G956" s="306">
        <f t="shared" ca="1" si="417"/>
        <v>3.7180897527422045</v>
      </c>
      <c r="H956" s="307">
        <f t="shared" ca="1" si="418"/>
        <v>-52.241737378650313</v>
      </c>
      <c r="I956" s="304">
        <f t="shared" ca="1" si="419"/>
        <v>52.373880090645528</v>
      </c>
      <c r="J956" s="306">
        <f t="shared" ca="1" si="420"/>
        <v>150.09587023194715</v>
      </c>
      <c r="K956" s="307">
        <f t="shared" ca="1" si="421"/>
        <v>-6.0133033704528138</v>
      </c>
      <c r="L956" s="304">
        <f t="shared" ca="1" si="406"/>
        <v>150.21627767359507</v>
      </c>
      <c r="M956" s="306">
        <f t="shared" ca="1" si="422"/>
        <v>-1.4997452627951051</v>
      </c>
      <c r="N956" s="304">
        <f t="shared" ca="1" si="423"/>
        <v>-85.929073902898054</v>
      </c>
      <c r="P956" s="310">
        <f t="shared" ca="1" si="424"/>
        <v>23</v>
      </c>
      <c r="Q956" s="304">
        <f t="shared" ca="1" si="425"/>
        <v>0</v>
      </c>
      <c r="R956" s="306">
        <f t="shared" ca="1" si="426"/>
        <v>0</v>
      </c>
      <c r="S956" s="307">
        <f t="shared" ca="1" si="427"/>
        <v>0.4270000000000001</v>
      </c>
      <c r="T956" s="304">
        <f t="shared" ca="1" si="407"/>
        <v>4.1888700000000014</v>
      </c>
      <c r="U956" s="311">
        <f t="shared" ca="1" si="408"/>
        <v>0</v>
      </c>
      <c r="V956" s="306">
        <f t="shared" ca="1" si="409"/>
        <v>1.2257368512083733</v>
      </c>
      <c r="W956" s="304">
        <f t="shared" ca="1" si="410"/>
        <v>3.5565321085618491</v>
      </c>
      <c r="Y956" s="314" t="str">
        <f t="shared" ca="1" si="428"/>
        <v/>
      </c>
      <c r="Z956" s="315" t="str">
        <f t="shared" ca="1" si="429"/>
        <v/>
      </c>
      <c r="AA956" s="316" t="str">
        <f t="shared" ca="1" si="430"/>
        <v/>
      </c>
      <c r="AC956" s="310" t="e">
        <f t="shared" ca="1" si="431"/>
        <v>#N/A</v>
      </c>
      <c r="AD956" s="323" t="e">
        <f t="shared" ca="1" si="432"/>
        <v>#N/A</v>
      </c>
      <c r="AE956" s="324" t="e">
        <f t="shared" ca="1" si="411"/>
        <v>#N/A</v>
      </c>
      <c r="AG956" s="306">
        <f t="shared" ca="1" si="433"/>
        <v>1.4561834634973678</v>
      </c>
      <c r="AH956" s="304">
        <f t="shared" ca="1" si="434"/>
        <v>-8.3290643412381939</v>
      </c>
    </row>
    <row r="957" spans="1:34" x14ac:dyDescent="0.3">
      <c r="A957" s="347">
        <f t="shared" ca="1" si="412"/>
        <v>1E-4</v>
      </c>
      <c r="B957" s="304">
        <f t="shared" ca="1" si="413"/>
        <v>16.16119999999982</v>
      </c>
      <c r="D957" s="306">
        <f t="shared" ca="1" si="414"/>
        <v>-0.59129468942014374</v>
      </c>
      <c r="E957" s="307">
        <f t="shared" ca="1" si="415"/>
        <v>-1.501899891524884</v>
      </c>
      <c r="F957" s="304">
        <f t="shared" ca="1" si="416"/>
        <v>1.6141043008117295</v>
      </c>
      <c r="G957" s="306">
        <f t="shared" ca="1" si="417"/>
        <v>3.7180306232732625</v>
      </c>
      <c r="H957" s="307">
        <f t="shared" ca="1" si="418"/>
        <v>-52.241887568639463</v>
      </c>
      <c r="I957" s="304">
        <f t="shared" ca="1" si="419"/>
        <v>52.374025704064074</v>
      </c>
      <c r="J957" s="306">
        <f t="shared" ca="1" si="420"/>
        <v>150.09587023194715</v>
      </c>
      <c r="K957" s="307">
        <f t="shared" ca="1" si="421"/>
        <v>-6.0185275517001786</v>
      </c>
      <c r="L957" s="304">
        <f t="shared" ca="1" si="406"/>
        <v>150.21648689333702</v>
      </c>
      <c r="M957" s="306">
        <f t="shared" ca="1" si="422"/>
        <v>-1.4997465925088869</v>
      </c>
      <c r="N957" s="304">
        <f t="shared" ca="1" si="423"/>
        <v>-85.929150089885709</v>
      </c>
      <c r="P957" s="310">
        <f t="shared" ca="1" si="424"/>
        <v>23</v>
      </c>
      <c r="Q957" s="304">
        <f t="shared" ca="1" si="425"/>
        <v>0</v>
      </c>
      <c r="R957" s="306">
        <f t="shared" ca="1" si="426"/>
        <v>0</v>
      </c>
      <c r="S957" s="307">
        <f t="shared" ca="1" si="427"/>
        <v>0.4270000000000001</v>
      </c>
      <c r="T957" s="304">
        <f t="shared" ca="1" si="407"/>
        <v>4.1888700000000014</v>
      </c>
      <c r="U957" s="311">
        <f t="shared" ca="1" si="408"/>
        <v>0</v>
      </c>
      <c r="V957" s="306">
        <f t="shared" ca="1" si="409"/>
        <v>1.2257374915557457</v>
      </c>
      <c r="W957" s="304">
        <f t="shared" ca="1" si="410"/>
        <v>3.5565537428214005</v>
      </c>
      <c r="Y957" s="314" t="str">
        <f t="shared" ca="1" si="428"/>
        <v/>
      </c>
      <c r="Z957" s="315" t="str">
        <f t="shared" ca="1" si="429"/>
        <v/>
      </c>
      <c r="AA957" s="316" t="str">
        <f t="shared" ca="1" si="430"/>
        <v/>
      </c>
      <c r="AC957" s="310" t="e">
        <f t="shared" ca="1" si="431"/>
        <v>#N/A</v>
      </c>
      <c r="AD957" s="323" t="e">
        <f t="shared" ca="1" si="432"/>
        <v>#N/A</v>
      </c>
      <c r="AE957" s="324" t="e">
        <f t="shared" ca="1" si="411"/>
        <v>#N/A</v>
      </c>
      <c r="AG957" s="306">
        <f t="shared" ca="1" si="433"/>
        <v>1.456133722467964</v>
      </c>
      <c r="AH957" s="304">
        <f t="shared" ca="1" si="434"/>
        <v>-8.3291150083415655</v>
      </c>
    </row>
    <row r="958" spans="1:34" x14ac:dyDescent="0.3">
      <c r="A958" s="347">
        <f t="shared" ca="1" si="412"/>
        <v>1E-4</v>
      </c>
      <c r="B958" s="304">
        <f t="shared" ca="1" si="413"/>
        <v>16.161299999999819</v>
      </c>
      <c r="D958" s="306">
        <f t="shared" ca="1" si="414"/>
        <v>-0.5912872387819752</v>
      </c>
      <c r="E958" s="307">
        <f t="shared" ca="1" si="415"/>
        <v>-1.5018485673944095</v>
      </c>
      <c r="F958" s="304">
        <f t="shared" ca="1" si="416"/>
        <v>1.6140538151285579</v>
      </c>
      <c r="G958" s="306">
        <f t="shared" ca="1" si="417"/>
        <v>3.7179714945493845</v>
      </c>
      <c r="H958" s="307">
        <f t="shared" ca="1" si="418"/>
        <v>-52.242037753496206</v>
      </c>
      <c r="I958" s="304">
        <f t="shared" ca="1" si="419"/>
        <v>52.374171312508651</v>
      </c>
      <c r="J958" s="306">
        <f t="shared" ca="1" si="420"/>
        <v>150.09587023194715</v>
      </c>
      <c r="K958" s="307">
        <f t="shared" ca="1" si="421"/>
        <v>-6.0237517479662852</v>
      </c>
      <c r="L958" s="304">
        <f t="shared" ca="1" si="406"/>
        <v>150.21669629507448</v>
      </c>
      <c r="M958" s="306">
        <f t="shared" ca="1" si="422"/>
        <v>-1.4997479221941283</v>
      </c>
      <c r="N958" s="304">
        <f t="shared" ca="1" si="423"/>
        <v>-85.929226275238122</v>
      </c>
      <c r="P958" s="310">
        <f t="shared" ca="1" si="424"/>
        <v>23</v>
      </c>
      <c r="Q958" s="304">
        <f t="shared" ca="1" si="425"/>
        <v>0</v>
      </c>
      <c r="R958" s="306">
        <f t="shared" ca="1" si="426"/>
        <v>0</v>
      </c>
      <c r="S958" s="307">
        <f t="shared" ca="1" si="427"/>
        <v>0.4270000000000001</v>
      </c>
      <c r="T958" s="304">
        <f t="shared" ca="1" si="407"/>
        <v>4.1888700000000014</v>
      </c>
      <c r="U958" s="311">
        <f t="shared" ca="1" si="408"/>
        <v>0</v>
      </c>
      <c r="V958" s="306">
        <f t="shared" ca="1" si="409"/>
        <v>1.2257381319052936</v>
      </c>
      <c r="W958" s="304">
        <f t="shared" ca="1" si="410"/>
        <v>3.5565753764873747</v>
      </c>
      <c r="Y958" s="314" t="str">
        <f t="shared" ca="1" si="428"/>
        <v/>
      </c>
      <c r="Z958" s="315" t="str">
        <f t="shared" ca="1" si="429"/>
        <v/>
      </c>
      <c r="AA958" s="316" t="str">
        <f t="shared" ca="1" si="430"/>
        <v/>
      </c>
      <c r="AC958" s="310" t="e">
        <f t="shared" ca="1" si="431"/>
        <v>#N/A</v>
      </c>
      <c r="AD958" s="323" t="e">
        <f t="shared" ca="1" si="432"/>
        <v>#N/A</v>
      </c>
      <c r="AE958" s="324" t="e">
        <f t="shared" ca="1" si="411"/>
        <v>#N/A</v>
      </c>
      <c r="AG958" s="306">
        <f t="shared" ca="1" si="433"/>
        <v>1.4560839827915171</v>
      </c>
      <c r="AH958" s="304">
        <f t="shared" ca="1" si="434"/>
        <v>-8.3291656740547992</v>
      </c>
    </row>
    <row r="959" spans="1:34" x14ac:dyDescent="0.3">
      <c r="A959" s="347">
        <f t="shared" ca="1" si="412"/>
        <v>1E-4</v>
      </c>
      <c r="B959" s="304">
        <f t="shared" ca="1" si="413"/>
        <v>16.161399999999819</v>
      </c>
      <c r="D959" s="306">
        <f t="shared" ca="1" si="414"/>
        <v>-0.59127978814679605</v>
      </c>
      <c r="E959" s="307">
        <f t="shared" ca="1" si="415"/>
        <v>-1.5017972446725381</v>
      </c>
      <c r="F959" s="304">
        <f t="shared" ca="1" si="416"/>
        <v>1.6140033308444401</v>
      </c>
      <c r="G959" s="306">
        <f t="shared" ca="1" si="417"/>
        <v>3.71791236657057</v>
      </c>
      <c r="H959" s="307">
        <f t="shared" ca="1" si="418"/>
        <v>-52.24218793322067</v>
      </c>
      <c r="I959" s="304">
        <f t="shared" ca="1" si="419"/>
        <v>52.374316915979399</v>
      </c>
      <c r="J959" s="306">
        <f t="shared" ca="1" si="420"/>
        <v>150.09587023194715</v>
      </c>
      <c r="K959" s="307">
        <f t="shared" ca="1" si="421"/>
        <v>-6.0289759592506211</v>
      </c>
      <c r="L959" s="304">
        <f t="shared" ca="1" si="406"/>
        <v>150.21690587880826</v>
      </c>
      <c r="M959" s="306">
        <f t="shared" ca="1" si="422"/>
        <v>-1.4997492518508302</v>
      </c>
      <c r="N959" s="304">
        <f t="shared" ca="1" si="423"/>
        <v>-85.929302458955334</v>
      </c>
      <c r="P959" s="310">
        <f t="shared" ca="1" si="424"/>
        <v>23</v>
      </c>
      <c r="Q959" s="304">
        <f t="shared" ca="1" si="425"/>
        <v>0</v>
      </c>
      <c r="R959" s="306">
        <f t="shared" ca="1" si="426"/>
        <v>0</v>
      </c>
      <c r="S959" s="307">
        <f t="shared" ca="1" si="427"/>
        <v>0.4270000000000001</v>
      </c>
      <c r="T959" s="304">
        <f t="shared" ca="1" si="407"/>
        <v>4.1888700000000014</v>
      </c>
      <c r="U959" s="311">
        <f t="shared" ca="1" si="408"/>
        <v>0</v>
      </c>
      <c r="V959" s="306">
        <f t="shared" ca="1" si="409"/>
        <v>1.2257387722570174</v>
      </c>
      <c r="W959" s="304">
        <f t="shared" ca="1" si="410"/>
        <v>3.5565970095597876</v>
      </c>
      <c r="Y959" s="314" t="str">
        <f t="shared" ca="1" si="428"/>
        <v/>
      </c>
      <c r="Z959" s="315" t="str">
        <f t="shared" ca="1" si="429"/>
        <v/>
      </c>
      <c r="AA959" s="316" t="str">
        <f t="shared" ca="1" si="430"/>
        <v/>
      </c>
      <c r="AC959" s="310" t="e">
        <f t="shared" ca="1" si="431"/>
        <v>#N/A</v>
      </c>
      <c r="AD959" s="323" t="e">
        <f t="shared" ca="1" si="432"/>
        <v>#N/A</v>
      </c>
      <c r="AE959" s="324" t="e">
        <f t="shared" ca="1" si="411"/>
        <v>#N/A</v>
      </c>
      <c r="AG959" s="306">
        <f t="shared" ca="1" si="433"/>
        <v>1.4560342444680021</v>
      </c>
      <c r="AH959" s="304">
        <f t="shared" ca="1" si="434"/>
        <v>-8.3292163383779254</v>
      </c>
    </row>
    <row r="960" spans="1:34" x14ac:dyDescent="0.3">
      <c r="A960" s="347">
        <f t="shared" ca="1" si="412"/>
        <v>1E-4</v>
      </c>
      <c r="B960" s="304">
        <f t="shared" ca="1" si="413"/>
        <v>16.161499999999819</v>
      </c>
      <c r="D960" s="306">
        <f t="shared" ca="1" si="414"/>
        <v>-0.59127233751461283</v>
      </c>
      <c r="E960" s="307">
        <f t="shared" ca="1" si="415"/>
        <v>-1.5017459233592323</v>
      </c>
      <c r="F960" s="304">
        <f t="shared" ca="1" si="416"/>
        <v>1.613952847959341</v>
      </c>
      <c r="G960" s="306">
        <f t="shared" ca="1" si="417"/>
        <v>3.7178532393368187</v>
      </c>
      <c r="H960" s="307">
        <f t="shared" ca="1" si="418"/>
        <v>-52.242338107813005</v>
      </c>
      <c r="I960" s="304">
        <f t="shared" ca="1" si="419"/>
        <v>52.374462514476441</v>
      </c>
      <c r="J960" s="306">
        <f t="shared" ca="1" si="420"/>
        <v>150.09587023194715</v>
      </c>
      <c r="K960" s="307">
        <f t="shared" ca="1" si="421"/>
        <v>-6.034200185552673</v>
      </c>
      <c r="L960" s="304">
        <f t="shared" ca="1" si="406"/>
        <v>150.21711564453912</v>
      </c>
      <c r="M960" s="306">
        <f t="shared" ca="1" si="422"/>
        <v>-1.4997505814789935</v>
      </c>
      <c r="N960" s="304">
        <f t="shared" ca="1" si="423"/>
        <v>-85.929378641037417</v>
      </c>
      <c r="P960" s="310">
        <f t="shared" ca="1" si="424"/>
        <v>23</v>
      </c>
      <c r="Q960" s="304">
        <f t="shared" ca="1" si="425"/>
        <v>0</v>
      </c>
      <c r="R960" s="306">
        <f t="shared" ca="1" si="426"/>
        <v>0</v>
      </c>
      <c r="S960" s="307">
        <f t="shared" ca="1" si="427"/>
        <v>0.4270000000000001</v>
      </c>
      <c r="T960" s="304">
        <f t="shared" ca="1" si="407"/>
        <v>4.1888700000000014</v>
      </c>
      <c r="U960" s="311">
        <f t="shared" ca="1" si="408"/>
        <v>0</v>
      </c>
      <c r="V960" s="306">
        <f t="shared" ca="1" si="409"/>
        <v>1.225739412610916</v>
      </c>
      <c r="W960" s="304">
        <f t="shared" ca="1" si="410"/>
        <v>3.5566186420386439</v>
      </c>
      <c r="Y960" s="314" t="str">
        <f t="shared" ca="1" si="428"/>
        <v/>
      </c>
      <c r="Z960" s="315" t="str">
        <f t="shared" ca="1" si="429"/>
        <v/>
      </c>
      <c r="AA960" s="316" t="str">
        <f t="shared" ca="1" si="430"/>
        <v/>
      </c>
      <c r="AC960" s="310" t="e">
        <f t="shared" ca="1" si="431"/>
        <v>#N/A</v>
      </c>
      <c r="AD960" s="323" t="e">
        <f t="shared" ca="1" si="432"/>
        <v>#N/A</v>
      </c>
      <c r="AE960" s="324" t="e">
        <f t="shared" ca="1" si="411"/>
        <v>#N/A</v>
      </c>
      <c r="AG960" s="306">
        <f t="shared" ca="1" si="433"/>
        <v>1.4559845074973889</v>
      </c>
      <c r="AH960" s="304">
        <f t="shared" ca="1" si="434"/>
        <v>-8.329267001310976</v>
      </c>
    </row>
    <row r="961" spans="1:34" x14ac:dyDescent="0.3">
      <c r="A961" s="347">
        <f t="shared" ca="1" si="412"/>
        <v>1E-4</v>
      </c>
      <c r="B961" s="304">
        <f t="shared" ca="1" si="413"/>
        <v>16.161599999999819</v>
      </c>
      <c r="D961" s="306">
        <f t="shared" ca="1" si="414"/>
        <v>-0.59126488688542711</v>
      </c>
      <c r="E961" s="307">
        <f t="shared" ca="1" si="415"/>
        <v>-1.5016946034544816</v>
      </c>
      <c r="F961" s="304">
        <f t="shared" ca="1" si="416"/>
        <v>1.6139023664732477</v>
      </c>
      <c r="G961" s="306">
        <f t="shared" ca="1" si="417"/>
        <v>3.71779411284813</v>
      </c>
      <c r="H961" s="307">
        <f t="shared" ca="1" si="418"/>
        <v>-52.242488277273353</v>
      </c>
      <c r="I961" s="304">
        <f t="shared" ca="1" si="419"/>
        <v>52.374608107999933</v>
      </c>
      <c r="J961" s="306">
        <f t="shared" ca="1" si="420"/>
        <v>150.09587023194715</v>
      </c>
      <c r="K961" s="307">
        <f t="shared" ca="1" si="421"/>
        <v>-6.0394244268719275</v>
      </c>
      <c r="L961" s="304">
        <f t="shared" ca="1" si="406"/>
        <v>150.21732559226785</v>
      </c>
      <c r="M961" s="306">
        <f t="shared" ca="1" si="422"/>
        <v>-1.4997519110786188</v>
      </c>
      <c r="N961" s="304">
        <f t="shared" ca="1" si="423"/>
        <v>-85.929454821484384</v>
      </c>
      <c r="P961" s="310">
        <f t="shared" ca="1" si="424"/>
        <v>23</v>
      </c>
      <c r="Q961" s="304">
        <f t="shared" ca="1" si="425"/>
        <v>0</v>
      </c>
      <c r="R961" s="306">
        <f t="shared" ca="1" si="426"/>
        <v>0</v>
      </c>
      <c r="S961" s="307">
        <f t="shared" ca="1" si="427"/>
        <v>0.4270000000000001</v>
      </c>
      <c r="T961" s="304">
        <f t="shared" ca="1" si="407"/>
        <v>4.1888700000000014</v>
      </c>
      <c r="U961" s="311">
        <f t="shared" ca="1" si="408"/>
        <v>0</v>
      </c>
      <c r="V961" s="306">
        <f t="shared" ca="1" si="409"/>
        <v>1.2257400529669902</v>
      </c>
      <c r="W961" s="304">
        <f t="shared" ca="1" si="410"/>
        <v>3.5566402739239606</v>
      </c>
      <c r="Y961" s="314" t="str">
        <f t="shared" ca="1" si="428"/>
        <v/>
      </c>
      <c r="Z961" s="315" t="str">
        <f t="shared" ca="1" si="429"/>
        <v/>
      </c>
      <c r="AA961" s="316" t="str">
        <f t="shared" ca="1" si="430"/>
        <v/>
      </c>
      <c r="AC961" s="310" t="e">
        <f t="shared" ca="1" si="431"/>
        <v>#N/A</v>
      </c>
      <c r="AD961" s="323" t="e">
        <f t="shared" ca="1" si="432"/>
        <v>#N/A</v>
      </c>
      <c r="AE961" s="324" t="e">
        <f t="shared" ca="1" si="411"/>
        <v>#N/A</v>
      </c>
      <c r="AG961" s="306">
        <f t="shared" ca="1" si="433"/>
        <v>1.4559347718796616</v>
      </c>
      <c r="AH961" s="304">
        <f t="shared" ca="1" si="434"/>
        <v>-8.3293176628539651</v>
      </c>
    </row>
    <row r="962" spans="1:34" x14ac:dyDescent="0.3">
      <c r="A962" s="347">
        <f t="shared" ca="1" si="412"/>
        <v>1E-4</v>
      </c>
      <c r="B962" s="304">
        <f t="shared" ca="1" si="413"/>
        <v>16.161699999999819</v>
      </c>
      <c r="D962" s="306">
        <f t="shared" ca="1" si="414"/>
        <v>-0.5912574362592482</v>
      </c>
      <c r="E962" s="307">
        <f t="shared" ca="1" si="415"/>
        <v>-1.5016432849582433</v>
      </c>
      <c r="F962" s="304">
        <f t="shared" ca="1" si="416"/>
        <v>1.6138518863861215</v>
      </c>
      <c r="G962" s="306">
        <f t="shared" ca="1" si="417"/>
        <v>3.717734987104504</v>
      </c>
      <c r="H962" s="307">
        <f t="shared" ca="1" si="418"/>
        <v>-52.242638441601848</v>
      </c>
      <c r="I962" s="304">
        <f t="shared" ca="1" si="419"/>
        <v>52.37475369654998</v>
      </c>
      <c r="J962" s="306">
        <f t="shared" ca="1" si="420"/>
        <v>150.09587023194715</v>
      </c>
      <c r="K962" s="307">
        <f t="shared" ca="1" si="421"/>
        <v>-6.0446486832078712</v>
      </c>
      <c r="L962" s="304">
        <f t="shared" ca="1" si="406"/>
        <v>150.21753572199526</v>
      </c>
      <c r="M962" s="306">
        <f t="shared" ca="1" si="422"/>
        <v>-1.4997532406497072</v>
      </c>
      <c r="N962" s="304">
        <f t="shared" ca="1" si="423"/>
        <v>-85.929531000296308</v>
      </c>
      <c r="P962" s="310">
        <f t="shared" ca="1" si="424"/>
        <v>23</v>
      </c>
      <c r="Q962" s="304">
        <f t="shared" ca="1" si="425"/>
        <v>0</v>
      </c>
      <c r="R962" s="306">
        <f t="shared" ca="1" si="426"/>
        <v>0</v>
      </c>
      <c r="S962" s="307">
        <f t="shared" ca="1" si="427"/>
        <v>0.4270000000000001</v>
      </c>
      <c r="T962" s="304">
        <f t="shared" ca="1" si="407"/>
        <v>4.1888700000000014</v>
      </c>
      <c r="U962" s="311">
        <f t="shared" ca="1" si="408"/>
        <v>0</v>
      </c>
      <c r="V962" s="306">
        <f t="shared" ca="1" si="409"/>
        <v>1.2257406933252397</v>
      </c>
      <c r="W962" s="304">
        <f t="shared" ca="1" si="410"/>
        <v>3.5566619052157455</v>
      </c>
      <c r="Y962" s="314" t="str">
        <f t="shared" ca="1" si="428"/>
        <v/>
      </c>
      <c r="Z962" s="315" t="str">
        <f t="shared" ca="1" si="429"/>
        <v/>
      </c>
      <c r="AA962" s="316" t="str">
        <f t="shared" ca="1" si="430"/>
        <v/>
      </c>
      <c r="AC962" s="310" t="e">
        <f t="shared" ca="1" si="431"/>
        <v>#N/A</v>
      </c>
      <c r="AD962" s="323" t="e">
        <f t="shared" ca="1" si="432"/>
        <v>#N/A</v>
      </c>
      <c r="AE962" s="324" t="e">
        <f t="shared" ca="1" si="411"/>
        <v>#N/A</v>
      </c>
      <c r="AG962" s="306">
        <f t="shared" ca="1" si="433"/>
        <v>1.4558850376147845</v>
      </c>
      <c r="AH962" s="304">
        <f t="shared" ca="1" si="434"/>
        <v>-8.329368323006932</v>
      </c>
    </row>
    <row r="963" spans="1:34" x14ac:dyDescent="0.3">
      <c r="A963" s="347">
        <f t="shared" ca="1" si="412"/>
        <v>1E-4</v>
      </c>
      <c r="B963" s="304">
        <f t="shared" ca="1" si="413"/>
        <v>16.161799999999818</v>
      </c>
      <c r="D963" s="306">
        <f t="shared" ca="1" si="414"/>
        <v>-0.59124998563607778</v>
      </c>
      <c r="E963" s="307">
        <f t="shared" ca="1" si="415"/>
        <v>-1.5015919678705032</v>
      </c>
      <c r="F963" s="304">
        <f t="shared" ca="1" si="416"/>
        <v>1.6138014076979461</v>
      </c>
      <c r="G963" s="306">
        <f t="shared" ca="1" si="417"/>
        <v>3.7176758621059403</v>
      </c>
      <c r="H963" s="307">
        <f t="shared" ca="1" si="418"/>
        <v>-52.242788600798633</v>
      </c>
      <c r="I963" s="304">
        <f t="shared" ca="1" si="419"/>
        <v>52.374899280126741</v>
      </c>
      <c r="J963" s="306">
        <f t="shared" ca="1" si="420"/>
        <v>150.09587023194715</v>
      </c>
      <c r="K963" s="307">
        <f t="shared" ca="1" si="421"/>
        <v>-6.0498729545599916</v>
      </c>
      <c r="L963" s="304">
        <f t="shared" ca="1" si="406"/>
        <v>150.21774603372211</v>
      </c>
      <c r="M963" s="306">
        <f t="shared" ca="1" si="422"/>
        <v>-1.4997545701922592</v>
      </c>
      <c r="N963" s="304">
        <f t="shared" ca="1" si="423"/>
        <v>-85.92960717747323</v>
      </c>
      <c r="P963" s="310">
        <f t="shared" ca="1" si="424"/>
        <v>23</v>
      </c>
      <c r="Q963" s="304">
        <f t="shared" ca="1" si="425"/>
        <v>0</v>
      </c>
      <c r="R963" s="306">
        <f t="shared" ca="1" si="426"/>
        <v>0</v>
      </c>
      <c r="S963" s="307">
        <f t="shared" ca="1" si="427"/>
        <v>0.4270000000000001</v>
      </c>
      <c r="T963" s="304">
        <f t="shared" ca="1" si="407"/>
        <v>4.1888700000000014</v>
      </c>
      <c r="U963" s="311">
        <f t="shared" ca="1" si="408"/>
        <v>0</v>
      </c>
      <c r="V963" s="306">
        <f t="shared" ca="1" si="409"/>
        <v>1.2257413336856646</v>
      </c>
      <c r="W963" s="304">
        <f t="shared" ca="1" si="410"/>
        <v>3.556683535914015</v>
      </c>
      <c r="Y963" s="314" t="str">
        <f t="shared" ca="1" si="428"/>
        <v/>
      </c>
      <c r="Z963" s="315" t="str">
        <f t="shared" ca="1" si="429"/>
        <v/>
      </c>
      <c r="AA963" s="316" t="str">
        <f t="shared" ca="1" si="430"/>
        <v/>
      </c>
      <c r="AC963" s="310" t="e">
        <f t="shared" ca="1" si="431"/>
        <v>#N/A</v>
      </c>
      <c r="AD963" s="323" t="e">
        <f t="shared" ca="1" si="432"/>
        <v>#N/A</v>
      </c>
      <c r="AE963" s="324" t="e">
        <f t="shared" ca="1" si="411"/>
        <v>#N/A</v>
      </c>
      <c r="AG963" s="306">
        <f t="shared" ca="1" si="433"/>
        <v>1.4558353047027417</v>
      </c>
      <c r="AH963" s="304">
        <f t="shared" ca="1" si="434"/>
        <v>-8.3294189817698943</v>
      </c>
    </row>
    <row r="964" spans="1:34" x14ac:dyDescent="0.3">
      <c r="A964" s="347">
        <f t="shared" ca="1" si="412"/>
        <v>1E-4</v>
      </c>
      <c r="B964" s="304">
        <f t="shared" ca="1" si="413"/>
        <v>16.161899999999818</v>
      </c>
      <c r="D964" s="306">
        <f t="shared" ca="1" si="414"/>
        <v>-0.59124253501592317</v>
      </c>
      <c r="E964" s="307">
        <f t="shared" ca="1" si="415"/>
        <v>-1.5015406521912169</v>
      </c>
      <c r="F964" s="304">
        <f t="shared" ca="1" si="416"/>
        <v>1.6137509304086799</v>
      </c>
      <c r="G964" s="306">
        <f t="shared" ca="1" si="417"/>
        <v>3.7176167378524387</v>
      </c>
      <c r="H964" s="307">
        <f t="shared" ca="1" si="418"/>
        <v>-52.24293875486385</v>
      </c>
      <c r="I964" s="304">
        <f t="shared" ca="1" si="419"/>
        <v>52.375044858730348</v>
      </c>
      <c r="J964" s="306">
        <f t="shared" ca="1" si="420"/>
        <v>150.09587023194715</v>
      </c>
      <c r="K964" s="307">
        <f t="shared" ca="1" si="421"/>
        <v>-6.0550972409277746</v>
      </c>
      <c r="L964" s="304">
        <f t="shared" ref="L964:L1004" ca="1" si="435">SQRT(pos_x^2+pos_z^2)</f>
        <v>150.21795652744916</v>
      </c>
      <c r="M964" s="306">
        <f t="shared" ca="1" si="422"/>
        <v>-1.4997558997062759</v>
      </c>
      <c r="N964" s="304">
        <f t="shared" ca="1" si="423"/>
        <v>-85.929683353015193</v>
      </c>
      <c r="P964" s="310">
        <f t="shared" ca="1" si="424"/>
        <v>23</v>
      </c>
      <c r="Q964" s="304">
        <f t="shared" ca="1" si="425"/>
        <v>0</v>
      </c>
      <c r="R964" s="306">
        <f t="shared" ca="1" si="426"/>
        <v>0</v>
      </c>
      <c r="S964" s="307">
        <f t="shared" ca="1" si="427"/>
        <v>0.4270000000000001</v>
      </c>
      <c r="T964" s="304">
        <f t="shared" ref="T964:T1004" ca="1" si="436">m*g</f>
        <v>4.1888700000000014</v>
      </c>
      <c r="U964" s="311">
        <f t="shared" ref="U964:U1004" ca="1" si="437">IF(pos_xz&lt;L_rampe,Poids*COS(Beta),0)</f>
        <v>0</v>
      </c>
      <c r="V964" s="306">
        <f t="shared" ref="V964:V1004" ca="1" si="438">Rho_moyen*(20000-Alt_rampe-pos_z)/(20000+Alt_rampe+pos_z)</f>
        <v>1.2257419740482647</v>
      </c>
      <c r="W964" s="304">
        <f t="shared" ref="W964:W1003" ca="1" si="439">1/2*Rho*Sref*Cx*vit_xz^2</f>
        <v>3.5567051660187774</v>
      </c>
      <c r="Y964" s="314" t="str">
        <f t="shared" ca="1" si="428"/>
        <v/>
      </c>
      <c r="Z964" s="315" t="str">
        <f t="shared" ca="1" si="429"/>
        <v/>
      </c>
      <c r="AA964" s="316" t="str">
        <f t="shared" ca="1" si="430"/>
        <v/>
      </c>
      <c r="AC964" s="310" t="e">
        <f t="shared" ca="1" si="431"/>
        <v>#N/A</v>
      </c>
      <c r="AD964" s="323" t="e">
        <f t="shared" ca="1" si="432"/>
        <v>#N/A</v>
      </c>
      <c r="AE964" s="324" t="e">
        <f t="shared" ref="AE964:AE1004" ca="1" si="440">IF(t&lt;T_para, pos_z, NA())</f>
        <v>#N/A</v>
      </c>
      <c r="AG964" s="306">
        <f t="shared" ca="1" si="433"/>
        <v>1.4557855731434959</v>
      </c>
      <c r="AH964" s="304">
        <f t="shared" ca="1" si="434"/>
        <v>-8.3294696391428911</v>
      </c>
    </row>
    <row r="965" spans="1:34" x14ac:dyDescent="0.3">
      <c r="A965" s="347">
        <f t="shared" ref="A965:A1004" ca="1" si="441">IF(B964+0.01&lt;=T_ini+ROUNDUP(Temps_fin_propu,0), 0.01, IF(K964&gt;0, 0.1, 0.0001))</f>
        <v>1E-4</v>
      </c>
      <c r="B965" s="304">
        <f t="shared" ref="B965:B1004" ca="1" si="442">B964+pas</f>
        <v>16.161999999999818</v>
      </c>
      <c r="D965" s="306">
        <f t="shared" ref="D965:D1004" ca="1" si="443">IF(AND(L964&lt;L_rampe,Poussee&lt;Poids*SIN(M964)),0,(-W964+Poussee)/m*COS(M964)-U964/m*SIN(M964))</f>
        <v>-0.59123508439878814</v>
      </c>
      <c r="E965" s="307">
        <f t="shared" ref="E965:E1004" ca="1" si="444">IF(AND(L964&lt;L_rampe,Poussee&lt;Poids*SIN(M964)),0,(-W964+Poussee)/m*SIN(M964)+U964/m*COS(M964)-Poids/m)</f>
        <v>-1.501489337920372</v>
      </c>
      <c r="F965" s="304">
        <f t="shared" ref="F965:F1004" ca="1" si="445">SQRT(acc_x^2+acc_z^2)</f>
        <v>1.6137004545183098</v>
      </c>
      <c r="G965" s="306">
        <f t="shared" ref="G965:G1004" ca="1" si="446">G964+acc_x*pas</f>
        <v>3.717557614343999</v>
      </c>
      <c r="H965" s="307">
        <f t="shared" ref="H965:H1004" ca="1" si="447">H964+acc_z*pas</f>
        <v>-52.243088903797641</v>
      </c>
      <c r="I965" s="304">
        <f t="shared" ref="I965:I1004" ca="1" si="448">SQRT(vit_x^2+vit_z^2)</f>
        <v>52.375190432360924</v>
      </c>
      <c r="J965" s="306">
        <f t="shared" ref="J965:J1004" ca="1" si="449">J964+0.5*(vit_x+G964)*pas*(K964&gt;=0)</f>
        <v>150.09587023194715</v>
      </c>
      <c r="K965" s="307">
        <f t="shared" ref="K965:K1004" ca="1" si="450">K964+0.5*(vit_z+H964)*pas</f>
        <v>-6.0603215423107075</v>
      </c>
      <c r="L965" s="304">
        <f t="shared" ca="1" si="435"/>
        <v>150.21816720317725</v>
      </c>
      <c r="M965" s="306">
        <f t="shared" ref="M965:M1004" ca="1" si="451">IF(AND(L964&gt;L_rampe,G965&gt;0),ATAN2(G965,H965),$M$4)</f>
        <v>-1.4997572291917578</v>
      </c>
      <c r="N965" s="304">
        <f t="shared" ref="N965:N1004" ca="1" si="452">DEGREES(Beta)</f>
        <v>-85.929759526922226</v>
      </c>
      <c r="P965" s="310">
        <f t="shared" ref="P965:P1004" ca="1" si="453">MATCH(t-pas/2-T_ini,CdP_t)</f>
        <v>23</v>
      </c>
      <c r="Q965" s="304">
        <f t="shared" ref="Q965:Q1004" ca="1" si="454">(INDEX(CdP,2,i_P+1)-INDEX(CdP,2,i_P+0))/(INDEX(CdP,1,i_P+1)-INDEX(CdP,1,i_P+0))*(t-pas/2-T_ini-INDEX(CdP,1,i_P+0))+INDEX(CdP,2,i_P+0)</f>
        <v>0</v>
      </c>
      <c r="R965" s="306">
        <f t="shared" ref="R965:R1004" ca="1" si="455">Poussee/(g*ISP)</f>
        <v>0</v>
      </c>
      <c r="S965" s="307">
        <f t="shared" ref="S965:S1004" ca="1" si="456">S964-Débit*pas</f>
        <v>0.4270000000000001</v>
      </c>
      <c r="T965" s="304">
        <f t="shared" ca="1" si="436"/>
        <v>4.1888700000000014</v>
      </c>
      <c r="U965" s="311">
        <f t="shared" ca="1" si="437"/>
        <v>0</v>
      </c>
      <c r="V965" s="306">
        <f t="shared" ca="1" si="438"/>
        <v>1.2257426144130394</v>
      </c>
      <c r="W965" s="304">
        <f t="shared" ca="1" si="439"/>
        <v>3.5567267955300426</v>
      </c>
      <c r="Y965" s="314" t="str">
        <f t="shared" ref="Y965:Y1003" ca="1" si="457">IF(AND(pos_z&lt;=0,K964&gt;0),"Impact balistique","") &amp; IF(AND(H966&lt;0,vit_z&gt;=0),"Apogée","") &amp; IF(AND(Poussee=0,Q964&gt;0),"Fin de propulsion","") &amp; IF(AND(L966&gt;L_rampe,pos_xz&lt;=L_rampe),"Sortie de rampe","")</f>
        <v/>
      </c>
      <c r="Z965" s="315" t="str">
        <f t="shared" ref="Z965:Z1004" ca="1" si="458">IF(ABS(t-T_para)&lt;pas/2,"Para","")</f>
        <v/>
      </c>
      <c r="AA965" s="316" t="str">
        <f t="shared" ref="AA965:AA1004" ca="1" si="459">IF(ABS(t-T_satellite)&lt;pas/2,"Satellite","")</f>
        <v/>
      </c>
      <c r="AC965" s="310" t="e">
        <f t="shared" ref="AC965:AC1004" ca="1" si="460">IF(ABS(t-ROUND(t,0))&lt;0.001,t,NA())</f>
        <v>#N/A</v>
      </c>
      <c r="AD965" s="323" t="e">
        <f t="shared" ref="AD965:AD1004" ca="1" si="461">IF(ABS(t-ROUND(t,0))&lt;0.001,pos_x,NA())</f>
        <v>#N/A</v>
      </c>
      <c r="AE965" s="324" t="e">
        <f t="shared" ca="1" si="440"/>
        <v>#N/A</v>
      </c>
      <c r="AG965" s="306">
        <f t="shared" ref="AG965:AG1004" ca="1" si="462">IF(AND(L964&lt;L_rampe,Poussee&lt;Poids*SIN(M964)),0,(-W964+Poussee)/m-Poids*SIN(M964)/m)</f>
        <v>1.4557358429370293</v>
      </c>
      <c r="AH965" s="304">
        <f t="shared" ref="AH965:AH1004" ca="1" si="463">IF(AND(L964&lt;L_rampe,Poussee&lt;Poids*SIN(M964)), g*SIN(M964), (-W964+Poussee)/m)</f>
        <v>-8.3295202951259402</v>
      </c>
    </row>
    <row r="966" spans="1:34" x14ac:dyDescent="0.3">
      <c r="A966" s="347">
        <f t="shared" ca="1" si="441"/>
        <v>1E-4</v>
      </c>
      <c r="B966" s="304">
        <f t="shared" ca="1" si="442"/>
        <v>16.162099999999818</v>
      </c>
      <c r="D966" s="306">
        <f t="shared" ca="1" si="443"/>
        <v>-0.5912276337846788</v>
      </c>
      <c r="E966" s="307">
        <f t="shared" ca="1" si="444"/>
        <v>-1.5014380250579382</v>
      </c>
      <c r="F966" s="304">
        <f t="shared" ca="1" si="445"/>
        <v>1.6136499800268063</v>
      </c>
      <c r="G966" s="306">
        <f t="shared" ca="1" si="446"/>
        <v>3.7174984915806206</v>
      </c>
      <c r="H966" s="307">
        <f t="shared" ca="1" si="447"/>
        <v>-52.243239047600149</v>
      </c>
      <c r="I966" s="304">
        <f t="shared" ca="1" si="448"/>
        <v>52.375336001018617</v>
      </c>
      <c r="J966" s="306">
        <f t="shared" ca="1" si="449"/>
        <v>150.09587023194715</v>
      </c>
      <c r="K966" s="307">
        <f t="shared" ca="1" si="450"/>
        <v>-6.0655458587082771</v>
      </c>
      <c r="L966" s="304">
        <f t="shared" ca="1" si="435"/>
        <v>150.21837806090707</v>
      </c>
      <c r="M966" s="306">
        <f t="shared" ca="1" si="451"/>
        <v>-1.4997585586487061</v>
      </c>
      <c r="N966" s="304">
        <f t="shared" ca="1" si="452"/>
        <v>-85.929835699194413</v>
      </c>
      <c r="P966" s="310">
        <f t="shared" ca="1" si="453"/>
        <v>23</v>
      </c>
      <c r="Q966" s="304">
        <f t="shared" ca="1" si="454"/>
        <v>0</v>
      </c>
      <c r="R966" s="306">
        <f t="shared" ca="1" si="455"/>
        <v>0</v>
      </c>
      <c r="S966" s="307">
        <f t="shared" ca="1" si="456"/>
        <v>0.4270000000000001</v>
      </c>
      <c r="T966" s="304">
        <f t="shared" ca="1" si="436"/>
        <v>4.1888700000000014</v>
      </c>
      <c r="U966" s="311">
        <f t="shared" ca="1" si="437"/>
        <v>0</v>
      </c>
      <c r="V966" s="306">
        <f t="shared" ca="1" si="438"/>
        <v>1.2257432547799896</v>
      </c>
      <c r="W966" s="304">
        <f t="shared" ca="1" si="439"/>
        <v>3.5567484244478274</v>
      </c>
      <c r="Y966" s="314" t="str">
        <f t="shared" ca="1" si="457"/>
        <v/>
      </c>
      <c r="Z966" s="315" t="str">
        <f t="shared" ca="1" si="458"/>
        <v/>
      </c>
      <c r="AA966" s="316" t="str">
        <f t="shared" ca="1" si="459"/>
        <v/>
      </c>
      <c r="AC966" s="310" t="e">
        <f t="shared" ca="1" si="460"/>
        <v>#N/A</v>
      </c>
      <c r="AD966" s="323" t="e">
        <f t="shared" ca="1" si="461"/>
        <v>#N/A</v>
      </c>
      <c r="AE966" s="324" t="e">
        <f t="shared" ca="1" si="440"/>
        <v>#N/A</v>
      </c>
      <c r="AG966" s="306">
        <f t="shared" ca="1" si="462"/>
        <v>1.4556861140833206</v>
      </c>
      <c r="AH966" s="304">
        <f t="shared" ca="1" si="463"/>
        <v>-8.3295709497190664</v>
      </c>
    </row>
    <row r="967" spans="1:34" x14ac:dyDescent="0.3">
      <c r="A967" s="347">
        <f t="shared" ca="1" si="441"/>
        <v>1E-4</v>
      </c>
      <c r="B967" s="304">
        <f t="shared" ca="1" si="442"/>
        <v>16.162199999999817</v>
      </c>
      <c r="D967" s="306">
        <f t="shared" ca="1" si="443"/>
        <v>-0.59122018317359892</v>
      </c>
      <c r="E967" s="307">
        <f t="shared" ca="1" si="444"/>
        <v>-1.5013867136038748</v>
      </c>
      <c r="F967" s="304">
        <f t="shared" ca="1" si="445"/>
        <v>1.6135995069341298</v>
      </c>
      <c r="G967" s="306">
        <f t="shared" ca="1" si="446"/>
        <v>3.7174393695623031</v>
      </c>
      <c r="H967" s="307">
        <f t="shared" ca="1" si="447"/>
        <v>-52.243389186271507</v>
      </c>
      <c r="I967" s="304">
        <f t="shared" ca="1" si="448"/>
        <v>52.375481564703563</v>
      </c>
      <c r="J967" s="306">
        <f t="shared" ca="1" si="449"/>
        <v>150.09587023194715</v>
      </c>
      <c r="K967" s="307">
        <f t="shared" ca="1" si="450"/>
        <v>-6.0707701901199709</v>
      </c>
      <c r="L967" s="304">
        <f t="shared" ca="1" si="435"/>
        <v>150.21858910063949</v>
      </c>
      <c r="M967" s="306">
        <f t="shared" ca="1" si="451"/>
        <v>-1.4997598880771212</v>
      </c>
      <c r="N967" s="304">
        <f t="shared" ca="1" si="452"/>
        <v>-85.929911869831756</v>
      </c>
      <c r="P967" s="310">
        <f t="shared" ca="1" si="453"/>
        <v>23</v>
      </c>
      <c r="Q967" s="304">
        <f t="shared" ca="1" si="454"/>
        <v>0</v>
      </c>
      <c r="R967" s="306">
        <f t="shared" ca="1" si="455"/>
        <v>0</v>
      </c>
      <c r="S967" s="307">
        <f t="shared" ca="1" si="456"/>
        <v>0.4270000000000001</v>
      </c>
      <c r="T967" s="304">
        <f t="shared" ca="1" si="436"/>
        <v>4.1888700000000014</v>
      </c>
      <c r="U967" s="311">
        <f t="shared" ca="1" si="437"/>
        <v>0</v>
      </c>
      <c r="V967" s="306">
        <f t="shared" ca="1" si="438"/>
        <v>1.2257438951491144</v>
      </c>
      <c r="W967" s="304">
        <f t="shared" ca="1" si="439"/>
        <v>3.5567700527721411</v>
      </c>
      <c r="Y967" s="314" t="str">
        <f t="shared" ca="1" si="457"/>
        <v/>
      </c>
      <c r="Z967" s="315" t="str">
        <f t="shared" ca="1" si="458"/>
        <v/>
      </c>
      <c r="AA967" s="316" t="str">
        <f t="shared" ca="1" si="459"/>
        <v/>
      </c>
      <c r="AC967" s="310" t="e">
        <f t="shared" ca="1" si="460"/>
        <v>#N/A</v>
      </c>
      <c r="AD967" s="323" t="e">
        <f t="shared" ca="1" si="461"/>
        <v>#N/A</v>
      </c>
      <c r="AE967" s="324" t="e">
        <f t="shared" ca="1" si="440"/>
        <v>#N/A</v>
      </c>
      <c r="AG967" s="306">
        <f t="shared" ca="1" si="462"/>
        <v>1.4556363865823307</v>
      </c>
      <c r="AH967" s="304">
        <f t="shared" ca="1" si="463"/>
        <v>-8.3296216029223107</v>
      </c>
    </row>
    <row r="968" spans="1:34" x14ac:dyDescent="0.3">
      <c r="A968" s="347">
        <f t="shared" ca="1" si="441"/>
        <v>1E-4</v>
      </c>
      <c r="B968" s="304">
        <f t="shared" ca="1" si="442"/>
        <v>16.162299999999817</v>
      </c>
      <c r="D968" s="306">
        <f t="shared" ca="1" si="443"/>
        <v>-0.59121273256555573</v>
      </c>
      <c r="E968" s="307">
        <f t="shared" ca="1" si="444"/>
        <v>-1.5013354035581674</v>
      </c>
      <c r="F968" s="304">
        <f t="shared" ca="1" si="445"/>
        <v>1.613549035240267</v>
      </c>
      <c r="G968" s="306">
        <f t="shared" ca="1" si="446"/>
        <v>3.7173802482890466</v>
      </c>
      <c r="H968" s="307">
        <f t="shared" ca="1" si="447"/>
        <v>-52.243539319811866</v>
      </c>
      <c r="I968" s="304">
        <f t="shared" ca="1" si="448"/>
        <v>52.375627123415889</v>
      </c>
      <c r="J968" s="306">
        <f t="shared" ca="1" si="449"/>
        <v>150.09587023194715</v>
      </c>
      <c r="K968" s="307">
        <f t="shared" ca="1" si="450"/>
        <v>-6.0759945365452754</v>
      </c>
      <c r="L968" s="304">
        <f t="shared" ca="1" si="435"/>
        <v>150.21880032237524</v>
      </c>
      <c r="M968" s="306">
        <f t="shared" ca="1" si="451"/>
        <v>-1.4997612174770043</v>
      </c>
      <c r="N968" s="304">
        <f t="shared" ca="1" si="452"/>
        <v>-85.929988038834352</v>
      </c>
      <c r="P968" s="310">
        <f t="shared" ca="1" si="453"/>
        <v>23</v>
      </c>
      <c r="Q968" s="304">
        <f t="shared" ca="1" si="454"/>
        <v>0</v>
      </c>
      <c r="R968" s="306">
        <f t="shared" ca="1" si="455"/>
        <v>0</v>
      </c>
      <c r="S968" s="307">
        <f t="shared" ca="1" si="456"/>
        <v>0.4270000000000001</v>
      </c>
      <c r="T968" s="304">
        <f t="shared" ca="1" si="436"/>
        <v>4.1888700000000014</v>
      </c>
      <c r="U968" s="311">
        <f t="shared" ca="1" si="437"/>
        <v>0</v>
      </c>
      <c r="V968" s="306">
        <f t="shared" ca="1" si="438"/>
        <v>1.2257445355204148</v>
      </c>
      <c r="W968" s="304">
        <f t="shared" ca="1" si="439"/>
        <v>3.5567916805029962</v>
      </c>
      <c r="Y968" s="314" t="str">
        <f t="shared" ca="1" si="457"/>
        <v/>
      </c>
      <c r="Z968" s="315" t="str">
        <f t="shared" ca="1" si="458"/>
        <v/>
      </c>
      <c r="AA968" s="316" t="str">
        <f t="shared" ca="1" si="459"/>
        <v/>
      </c>
      <c r="AC968" s="310" t="e">
        <f t="shared" ca="1" si="460"/>
        <v>#N/A</v>
      </c>
      <c r="AD968" s="323" t="e">
        <f t="shared" ca="1" si="461"/>
        <v>#N/A</v>
      </c>
      <c r="AE968" s="324" t="e">
        <f t="shared" ca="1" si="440"/>
        <v>#N/A</v>
      </c>
      <c r="AG968" s="306">
        <f t="shared" ca="1" si="462"/>
        <v>1.4555866604340437</v>
      </c>
      <c r="AH968" s="304">
        <f t="shared" ca="1" si="463"/>
        <v>-8.3296722547356907</v>
      </c>
    </row>
    <row r="969" spans="1:34" x14ac:dyDescent="0.3">
      <c r="A969" s="347">
        <f t="shared" ca="1" si="441"/>
        <v>1E-4</v>
      </c>
      <c r="B969" s="304">
        <f t="shared" ca="1" si="442"/>
        <v>16.162399999999817</v>
      </c>
      <c r="D969" s="306">
        <f t="shared" ca="1" si="443"/>
        <v>-0.59120528196055244</v>
      </c>
      <c r="E969" s="307">
        <f t="shared" ca="1" si="444"/>
        <v>-1.5012840949207789</v>
      </c>
      <c r="F969" s="304">
        <f t="shared" ca="1" si="445"/>
        <v>1.6134985649451812</v>
      </c>
      <c r="G969" s="306">
        <f t="shared" ca="1" si="446"/>
        <v>3.7173211277608504</v>
      </c>
      <c r="H969" s="307">
        <f t="shared" ca="1" si="447"/>
        <v>-52.24368944822136</v>
      </c>
      <c r="I969" s="304">
        <f t="shared" ca="1" si="448"/>
        <v>52.375772677155737</v>
      </c>
      <c r="J969" s="306">
        <f t="shared" ca="1" si="449"/>
        <v>150.09587023194715</v>
      </c>
      <c r="K969" s="307">
        <f t="shared" ca="1" si="450"/>
        <v>-6.0812188979836774</v>
      </c>
      <c r="L969" s="304">
        <f t="shared" ca="1" si="435"/>
        <v>150.21901172611513</v>
      </c>
      <c r="M969" s="306">
        <f t="shared" ca="1" si="451"/>
        <v>-1.4997625468483562</v>
      </c>
      <c r="N969" s="304">
        <f t="shared" ca="1" si="452"/>
        <v>-85.930064206202218</v>
      </c>
      <c r="P969" s="310">
        <f t="shared" ca="1" si="453"/>
        <v>23</v>
      </c>
      <c r="Q969" s="304">
        <f t="shared" ca="1" si="454"/>
        <v>0</v>
      </c>
      <c r="R969" s="306">
        <f t="shared" ca="1" si="455"/>
        <v>0</v>
      </c>
      <c r="S969" s="307">
        <f t="shared" ca="1" si="456"/>
        <v>0.4270000000000001</v>
      </c>
      <c r="T969" s="304">
        <f t="shared" ca="1" si="436"/>
        <v>4.1888700000000014</v>
      </c>
      <c r="U969" s="311">
        <f t="shared" ca="1" si="437"/>
        <v>0</v>
      </c>
      <c r="V969" s="306">
        <f t="shared" ca="1" si="438"/>
        <v>1.2257451758938893</v>
      </c>
      <c r="W969" s="304">
        <f t="shared" ca="1" si="439"/>
        <v>3.5568133076404016</v>
      </c>
      <c r="Y969" s="314" t="str">
        <f t="shared" ca="1" si="457"/>
        <v/>
      </c>
      <c r="Z969" s="315" t="str">
        <f t="shared" ca="1" si="458"/>
        <v/>
      </c>
      <c r="AA969" s="316" t="str">
        <f t="shared" ca="1" si="459"/>
        <v/>
      </c>
      <c r="AC969" s="310" t="e">
        <f t="shared" ca="1" si="460"/>
        <v>#N/A</v>
      </c>
      <c r="AD969" s="323" t="e">
        <f t="shared" ca="1" si="461"/>
        <v>#N/A</v>
      </c>
      <c r="AE969" s="324" t="e">
        <f t="shared" ca="1" si="440"/>
        <v>#N/A</v>
      </c>
      <c r="AG969" s="306">
        <f t="shared" ca="1" si="462"/>
        <v>1.4555369356384258</v>
      </c>
      <c r="AH969" s="304">
        <f t="shared" ca="1" si="463"/>
        <v>-8.3297229051592403</v>
      </c>
    </row>
    <row r="970" spans="1:34" x14ac:dyDescent="0.3">
      <c r="A970" s="347">
        <f t="shared" ca="1" si="441"/>
        <v>1E-4</v>
      </c>
      <c r="B970" s="304">
        <f t="shared" ca="1" si="442"/>
        <v>16.162499999999817</v>
      </c>
      <c r="D970" s="306">
        <f t="shared" ca="1" si="443"/>
        <v>-0.59119783135859283</v>
      </c>
      <c r="E970" s="307">
        <f t="shared" ca="1" si="444"/>
        <v>-1.5012327876916913</v>
      </c>
      <c r="F970" s="304">
        <f t="shared" ca="1" si="445"/>
        <v>1.6134480960488533</v>
      </c>
      <c r="G970" s="306">
        <f t="shared" ca="1" si="446"/>
        <v>3.7172620079777148</v>
      </c>
      <c r="H970" s="307">
        <f t="shared" ca="1" si="447"/>
        <v>-52.243839571500132</v>
      </c>
      <c r="I970" s="304">
        <f t="shared" ca="1" si="448"/>
        <v>52.375918225923229</v>
      </c>
      <c r="J970" s="306">
        <f t="shared" ca="1" si="449"/>
        <v>150.09587023194715</v>
      </c>
      <c r="K970" s="307">
        <f t="shared" ca="1" si="450"/>
        <v>-6.0864432744346635</v>
      </c>
      <c r="L970" s="304">
        <f t="shared" ca="1" si="435"/>
        <v>150.21922331185988</v>
      </c>
      <c r="M970" s="306">
        <f t="shared" ca="1" si="451"/>
        <v>-1.4997638761911773</v>
      </c>
      <c r="N970" s="304">
        <f t="shared" ca="1" si="452"/>
        <v>-85.930140371935394</v>
      </c>
      <c r="P970" s="310">
        <f t="shared" ca="1" si="453"/>
        <v>23</v>
      </c>
      <c r="Q970" s="304">
        <f t="shared" ca="1" si="454"/>
        <v>0</v>
      </c>
      <c r="R970" s="306">
        <f t="shared" ca="1" si="455"/>
        <v>0</v>
      </c>
      <c r="S970" s="307">
        <f t="shared" ca="1" si="456"/>
        <v>0.4270000000000001</v>
      </c>
      <c r="T970" s="304">
        <f t="shared" ca="1" si="436"/>
        <v>4.1888700000000014</v>
      </c>
      <c r="U970" s="311">
        <f t="shared" ca="1" si="437"/>
        <v>0</v>
      </c>
      <c r="V970" s="306">
        <f t="shared" ca="1" si="438"/>
        <v>1.2257458162695394</v>
      </c>
      <c r="W970" s="304">
        <f t="shared" ca="1" si="439"/>
        <v>3.5568349341843719</v>
      </c>
      <c r="Y970" s="314" t="str">
        <f t="shared" ca="1" si="457"/>
        <v/>
      </c>
      <c r="Z970" s="315" t="str">
        <f t="shared" ca="1" si="458"/>
        <v/>
      </c>
      <c r="AA970" s="316" t="str">
        <f t="shared" ca="1" si="459"/>
        <v/>
      </c>
      <c r="AC970" s="310" t="e">
        <f t="shared" ca="1" si="460"/>
        <v>#N/A</v>
      </c>
      <c r="AD970" s="323" t="e">
        <f t="shared" ca="1" si="461"/>
        <v>#N/A</v>
      </c>
      <c r="AE970" s="324" t="e">
        <f t="shared" ca="1" si="440"/>
        <v>#N/A</v>
      </c>
      <c r="AG970" s="306">
        <f t="shared" ca="1" si="462"/>
        <v>1.4554872121954645</v>
      </c>
      <c r="AH970" s="304">
        <f t="shared" ca="1" si="463"/>
        <v>-8.3297735541929754</v>
      </c>
    </row>
    <row r="971" spans="1:34" x14ac:dyDescent="0.3">
      <c r="A971" s="347">
        <f t="shared" ca="1" si="441"/>
        <v>1E-4</v>
      </c>
      <c r="B971" s="304">
        <f t="shared" ca="1" si="442"/>
        <v>16.162599999999816</v>
      </c>
      <c r="D971" s="306">
        <f t="shared" ca="1" si="443"/>
        <v>-0.59119038075968577</v>
      </c>
      <c r="E971" s="307">
        <f t="shared" ca="1" si="444"/>
        <v>-1.5011814818708711</v>
      </c>
      <c r="F971" s="304">
        <f t="shared" ca="1" si="445"/>
        <v>1.613397628551253</v>
      </c>
      <c r="G971" s="306">
        <f t="shared" ca="1" si="446"/>
        <v>3.7172028889396387</v>
      </c>
      <c r="H971" s="307">
        <f t="shared" ca="1" si="447"/>
        <v>-52.243989689648316</v>
      </c>
      <c r="I971" s="304">
        <f t="shared" ca="1" si="448"/>
        <v>52.37606376971852</v>
      </c>
      <c r="J971" s="306">
        <f t="shared" ca="1" si="449"/>
        <v>150.09587023194715</v>
      </c>
      <c r="K971" s="307">
        <f t="shared" ca="1" si="450"/>
        <v>-6.0916676658977211</v>
      </c>
      <c r="L971" s="304">
        <f t="shared" ca="1" si="435"/>
        <v>150.21943507961032</v>
      </c>
      <c r="M971" s="306">
        <f t="shared" ca="1" si="451"/>
        <v>-1.4997652055054689</v>
      </c>
      <c r="N971" s="304">
        <f t="shared" ca="1" si="452"/>
        <v>-85.930216536033939</v>
      </c>
      <c r="P971" s="310">
        <f t="shared" ca="1" si="453"/>
        <v>23</v>
      </c>
      <c r="Q971" s="304">
        <f t="shared" ca="1" si="454"/>
        <v>0</v>
      </c>
      <c r="R971" s="306">
        <f t="shared" ca="1" si="455"/>
        <v>0</v>
      </c>
      <c r="S971" s="307">
        <f t="shared" ca="1" si="456"/>
        <v>0.4270000000000001</v>
      </c>
      <c r="T971" s="304">
        <f t="shared" ca="1" si="436"/>
        <v>4.1888700000000014</v>
      </c>
      <c r="U971" s="311">
        <f t="shared" ca="1" si="437"/>
        <v>0</v>
      </c>
      <c r="V971" s="306">
        <f t="shared" ca="1" si="438"/>
        <v>1.2257464566473635</v>
      </c>
      <c r="W971" s="304">
        <f t="shared" ca="1" si="439"/>
        <v>3.5568565601349169</v>
      </c>
      <c r="Y971" s="314" t="str">
        <f t="shared" ca="1" si="457"/>
        <v/>
      </c>
      <c r="Z971" s="315" t="str">
        <f t="shared" ca="1" si="458"/>
        <v/>
      </c>
      <c r="AA971" s="316" t="str">
        <f t="shared" ca="1" si="459"/>
        <v/>
      </c>
      <c r="AC971" s="310" t="e">
        <f t="shared" ca="1" si="460"/>
        <v>#N/A</v>
      </c>
      <c r="AD971" s="323" t="e">
        <f t="shared" ca="1" si="461"/>
        <v>#N/A</v>
      </c>
      <c r="AE971" s="324" t="e">
        <f t="shared" ca="1" si="440"/>
        <v>#N/A</v>
      </c>
      <c r="AG971" s="306">
        <f t="shared" ca="1" si="462"/>
        <v>1.4554374901051208</v>
      </c>
      <c r="AH971" s="304">
        <f t="shared" ca="1" si="463"/>
        <v>-8.3298242018369351</v>
      </c>
    </row>
    <row r="972" spans="1:34" x14ac:dyDescent="0.3">
      <c r="A972" s="347">
        <f t="shared" ca="1" si="441"/>
        <v>1E-4</v>
      </c>
      <c r="B972" s="304">
        <f t="shared" ca="1" si="442"/>
        <v>16.162699999999816</v>
      </c>
      <c r="D972" s="306">
        <f t="shared" ca="1" si="443"/>
        <v>-0.59118293016383339</v>
      </c>
      <c r="E972" s="307">
        <f t="shared" ca="1" si="444"/>
        <v>-1.5011301774582915</v>
      </c>
      <c r="F972" s="304">
        <f t="shared" ca="1" si="445"/>
        <v>1.6133471624523525</v>
      </c>
      <c r="G972" s="306">
        <f t="shared" ca="1" si="446"/>
        <v>3.7171437706466222</v>
      </c>
      <c r="H972" s="307">
        <f t="shared" ca="1" si="447"/>
        <v>-52.244139802666062</v>
      </c>
      <c r="I972" s="304">
        <f t="shared" ca="1" si="448"/>
        <v>52.376209308541732</v>
      </c>
      <c r="J972" s="306">
        <f t="shared" ca="1" si="449"/>
        <v>150.09587023194715</v>
      </c>
      <c r="K972" s="307">
        <f t="shared" ca="1" si="450"/>
        <v>-6.096892072372337</v>
      </c>
      <c r="L972" s="304">
        <f t="shared" ca="1" si="435"/>
        <v>150.21964702936722</v>
      </c>
      <c r="M972" s="306">
        <f t="shared" ca="1" si="451"/>
        <v>-1.4997665347912315</v>
      </c>
      <c r="N972" s="304">
        <f t="shared" ca="1" si="452"/>
        <v>-85.930292698497908</v>
      </c>
      <c r="P972" s="310">
        <f t="shared" ca="1" si="453"/>
        <v>23</v>
      </c>
      <c r="Q972" s="304">
        <f t="shared" ca="1" si="454"/>
        <v>0</v>
      </c>
      <c r="R972" s="306">
        <f t="shared" ca="1" si="455"/>
        <v>0</v>
      </c>
      <c r="S972" s="307">
        <f t="shared" ca="1" si="456"/>
        <v>0.4270000000000001</v>
      </c>
      <c r="T972" s="304">
        <f t="shared" ca="1" si="436"/>
        <v>4.1888700000000014</v>
      </c>
      <c r="U972" s="311">
        <f t="shared" ca="1" si="437"/>
        <v>0</v>
      </c>
      <c r="V972" s="306">
        <f t="shared" ca="1" si="438"/>
        <v>1.2257470970273627</v>
      </c>
      <c r="W972" s="304">
        <f t="shared" ca="1" si="439"/>
        <v>3.5568781854920504</v>
      </c>
      <c r="Y972" s="314" t="str">
        <f t="shared" ca="1" si="457"/>
        <v/>
      </c>
      <c r="Z972" s="315" t="str">
        <f t="shared" ca="1" si="458"/>
        <v/>
      </c>
      <c r="AA972" s="316" t="str">
        <f t="shared" ca="1" si="459"/>
        <v/>
      </c>
      <c r="AC972" s="310" t="e">
        <f t="shared" ca="1" si="460"/>
        <v>#N/A</v>
      </c>
      <c r="AD972" s="323" t="e">
        <f t="shared" ca="1" si="461"/>
        <v>#N/A</v>
      </c>
      <c r="AE972" s="324" t="e">
        <f t="shared" ca="1" si="440"/>
        <v>#N/A</v>
      </c>
      <c r="AG972" s="306">
        <f t="shared" ca="1" si="462"/>
        <v>1.4553877693673787</v>
      </c>
      <c r="AH972" s="304">
        <f t="shared" ca="1" si="463"/>
        <v>-8.3298748480911389</v>
      </c>
    </row>
    <row r="973" spans="1:34" x14ac:dyDescent="0.3">
      <c r="A973" s="347">
        <f t="shared" ca="1" si="441"/>
        <v>1E-4</v>
      </c>
      <c r="B973" s="304">
        <f t="shared" ca="1" si="442"/>
        <v>16.162799999999816</v>
      </c>
      <c r="D973" s="306">
        <f t="shared" ca="1" si="443"/>
        <v>-0.59117547957104233</v>
      </c>
      <c r="E973" s="307">
        <f t="shared" ca="1" si="444"/>
        <v>-1.5010788744539258</v>
      </c>
      <c r="F973" s="304">
        <f t="shared" ca="1" si="445"/>
        <v>1.6132966977521266</v>
      </c>
      <c r="G973" s="306">
        <f t="shared" ca="1" si="446"/>
        <v>3.7170846530986652</v>
      </c>
      <c r="H973" s="307">
        <f t="shared" ca="1" si="447"/>
        <v>-52.244289910553505</v>
      </c>
      <c r="I973" s="304">
        <f t="shared" ca="1" si="448"/>
        <v>52.376354842392999</v>
      </c>
      <c r="J973" s="306">
        <f t="shared" ca="1" si="449"/>
        <v>150.09587023194715</v>
      </c>
      <c r="K973" s="307">
        <f t="shared" ca="1" si="450"/>
        <v>-6.1021164938579977</v>
      </c>
      <c r="L973" s="304">
        <f t="shared" ca="1" si="435"/>
        <v>150.21985916113132</v>
      </c>
      <c r="M973" s="306">
        <f t="shared" ca="1" si="451"/>
        <v>-1.499767864048466</v>
      </c>
      <c r="N973" s="304">
        <f t="shared" ca="1" si="452"/>
        <v>-85.930368859327331</v>
      </c>
      <c r="P973" s="310">
        <f t="shared" ca="1" si="453"/>
        <v>23</v>
      </c>
      <c r="Q973" s="304">
        <f t="shared" ca="1" si="454"/>
        <v>0</v>
      </c>
      <c r="R973" s="306">
        <f t="shared" ca="1" si="455"/>
        <v>0</v>
      </c>
      <c r="S973" s="307">
        <f t="shared" ca="1" si="456"/>
        <v>0.4270000000000001</v>
      </c>
      <c r="T973" s="304">
        <f t="shared" ca="1" si="436"/>
        <v>4.1888700000000014</v>
      </c>
      <c r="U973" s="311">
        <f t="shared" ca="1" si="437"/>
        <v>0</v>
      </c>
      <c r="V973" s="306">
        <f t="shared" ca="1" si="438"/>
        <v>1.2257477374095365</v>
      </c>
      <c r="W973" s="304">
        <f t="shared" ca="1" si="439"/>
        <v>3.5568998102557812</v>
      </c>
      <c r="Y973" s="314" t="str">
        <f t="shared" ca="1" si="457"/>
        <v/>
      </c>
      <c r="Z973" s="315" t="str">
        <f t="shared" ca="1" si="458"/>
        <v/>
      </c>
      <c r="AA973" s="316" t="str">
        <f t="shared" ca="1" si="459"/>
        <v/>
      </c>
      <c r="AC973" s="310" t="e">
        <f t="shared" ca="1" si="460"/>
        <v>#N/A</v>
      </c>
      <c r="AD973" s="323" t="e">
        <f t="shared" ca="1" si="461"/>
        <v>#N/A</v>
      </c>
      <c r="AE973" s="324" t="e">
        <f t="shared" ca="1" si="440"/>
        <v>#N/A</v>
      </c>
      <c r="AG973" s="306">
        <f t="shared" ca="1" si="462"/>
        <v>1.4553380499822062</v>
      </c>
      <c r="AH973" s="304">
        <f t="shared" ca="1" si="463"/>
        <v>-8.3299254929556188</v>
      </c>
    </row>
    <row r="974" spans="1:34" x14ac:dyDescent="0.3">
      <c r="A974" s="347">
        <f t="shared" ca="1" si="441"/>
        <v>1E-4</v>
      </c>
      <c r="B974" s="304">
        <f t="shared" ca="1" si="442"/>
        <v>16.162899999999816</v>
      </c>
      <c r="D974" s="306">
        <f t="shared" ca="1" si="443"/>
        <v>-0.59116802898131704</v>
      </c>
      <c r="E974" s="307">
        <f t="shared" ca="1" si="444"/>
        <v>-1.501027572857744</v>
      </c>
      <c r="F974" s="304">
        <f t="shared" ca="1" si="445"/>
        <v>1.6132462344505458</v>
      </c>
      <c r="G974" s="306">
        <f t="shared" ca="1" si="446"/>
        <v>3.7170255362957669</v>
      </c>
      <c r="H974" s="307">
        <f t="shared" ca="1" si="447"/>
        <v>-52.244440013310793</v>
      </c>
      <c r="I974" s="304">
        <f t="shared" ca="1" si="448"/>
        <v>52.376500371272463</v>
      </c>
      <c r="J974" s="306">
        <f t="shared" ca="1" si="449"/>
        <v>150.09587023194715</v>
      </c>
      <c r="K974" s="307">
        <f t="shared" ca="1" si="450"/>
        <v>-6.1073409303541908</v>
      </c>
      <c r="L974" s="304">
        <f t="shared" ca="1" si="435"/>
        <v>150.22007147490342</v>
      </c>
      <c r="M974" s="306">
        <f t="shared" ca="1" si="451"/>
        <v>-1.4997691932771731</v>
      </c>
      <c r="N974" s="304">
        <f t="shared" ca="1" si="452"/>
        <v>-85.930445018522249</v>
      </c>
      <c r="P974" s="310">
        <f t="shared" ca="1" si="453"/>
        <v>23</v>
      </c>
      <c r="Q974" s="304">
        <f t="shared" ca="1" si="454"/>
        <v>0</v>
      </c>
      <c r="R974" s="306">
        <f t="shared" ca="1" si="455"/>
        <v>0</v>
      </c>
      <c r="S974" s="307">
        <f t="shared" ca="1" si="456"/>
        <v>0.4270000000000001</v>
      </c>
      <c r="T974" s="304">
        <f t="shared" ca="1" si="436"/>
        <v>4.1888700000000014</v>
      </c>
      <c r="U974" s="311">
        <f t="shared" ca="1" si="437"/>
        <v>0</v>
      </c>
      <c r="V974" s="306">
        <f t="shared" ca="1" si="438"/>
        <v>1.2257483777938851</v>
      </c>
      <c r="W974" s="304">
        <f t="shared" ca="1" si="439"/>
        <v>3.5569214344261249</v>
      </c>
      <c r="Y974" s="314" t="str">
        <f t="shared" ca="1" si="457"/>
        <v/>
      </c>
      <c r="Z974" s="315" t="str">
        <f t="shared" ca="1" si="458"/>
        <v/>
      </c>
      <c r="AA974" s="316" t="str">
        <f t="shared" ca="1" si="459"/>
        <v/>
      </c>
      <c r="AC974" s="310" t="e">
        <f t="shared" ca="1" si="460"/>
        <v>#N/A</v>
      </c>
      <c r="AD974" s="323" t="e">
        <f t="shared" ca="1" si="461"/>
        <v>#N/A</v>
      </c>
      <c r="AE974" s="324" t="e">
        <f t="shared" ca="1" si="440"/>
        <v>#N/A</v>
      </c>
      <c r="AG974" s="306">
        <f t="shared" ca="1" si="462"/>
        <v>1.4552883319495802</v>
      </c>
      <c r="AH974" s="304">
        <f t="shared" ca="1" si="463"/>
        <v>-8.3299761364303997</v>
      </c>
    </row>
    <row r="975" spans="1:34" x14ac:dyDescent="0.3">
      <c r="A975" s="347">
        <f t="shared" ca="1" si="441"/>
        <v>1E-4</v>
      </c>
      <c r="B975" s="304">
        <f t="shared" ca="1" si="442"/>
        <v>16.162999999999816</v>
      </c>
      <c r="D975" s="306">
        <f t="shared" ca="1" si="443"/>
        <v>-0.59116057839466385</v>
      </c>
      <c r="E975" s="307">
        <f t="shared" ca="1" si="444"/>
        <v>-1.5009762726697176</v>
      </c>
      <c r="F975" s="304">
        <f t="shared" ca="1" si="445"/>
        <v>1.6131957725475825</v>
      </c>
      <c r="G975" s="306">
        <f t="shared" ca="1" si="446"/>
        <v>3.7169664202379273</v>
      </c>
      <c r="H975" s="307">
        <f t="shared" ca="1" si="447"/>
        <v>-52.244590110938063</v>
      </c>
      <c r="I975" s="304">
        <f t="shared" ca="1" si="448"/>
        <v>52.376645895180268</v>
      </c>
      <c r="J975" s="306">
        <f t="shared" ca="1" si="449"/>
        <v>150.09587023194715</v>
      </c>
      <c r="K975" s="307">
        <f t="shared" ca="1" si="450"/>
        <v>-6.1125653818604029</v>
      </c>
      <c r="L975" s="304">
        <f t="shared" ca="1" si="435"/>
        <v>150.22028397068431</v>
      </c>
      <c r="M975" s="306">
        <f t="shared" ca="1" si="451"/>
        <v>-1.4997705224773539</v>
      </c>
      <c r="N975" s="304">
        <f t="shared" ca="1" si="452"/>
        <v>-85.930521176082749</v>
      </c>
      <c r="P975" s="310">
        <f t="shared" ca="1" si="453"/>
        <v>23</v>
      </c>
      <c r="Q975" s="304">
        <f t="shared" ca="1" si="454"/>
        <v>0</v>
      </c>
      <c r="R975" s="306">
        <f t="shared" ca="1" si="455"/>
        <v>0</v>
      </c>
      <c r="S975" s="307">
        <f t="shared" ca="1" si="456"/>
        <v>0.4270000000000001</v>
      </c>
      <c r="T975" s="304">
        <f t="shared" ca="1" si="436"/>
        <v>4.1888700000000014</v>
      </c>
      <c r="U975" s="311">
        <f t="shared" ca="1" si="437"/>
        <v>0</v>
      </c>
      <c r="V975" s="306">
        <f t="shared" ca="1" si="438"/>
        <v>1.225749018180408</v>
      </c>
      <c r="W975" s="304">
        <f t="shared" ca="1" si="439"/>
        <v>3.5569430580030912</v>
      </c>
      <c r="Y975" s="314" t="str">
        <f t="shared" ca="1" si="457"/>
        <v/>
      </c>
      <c r="Z975" s="315" t="str">
        <f t="shared" ca="1" si="458"/>
        <v/>
      </c>
      <c r="AA975" s="316" t="str">
        <f t="shared" ca="1" si="459"/>
        <v/>
      </c>
      <c r="AC975" s="310" t="e">
        <f t="shared" ca="1" si="460"/>
        <v>#N/A</v>
      </c>
      <c r="AD975" s="323" t="e">
        <f t="shared" ca="1" si="461"/>
        <v>#N/A</v>
      </c>
      <c r="AE975" s="324" t="e">
        <f t="shared" ca="1" si="440"/>
        <v>#N/A</v>
      </c>
      <c r="AG975" s="306">
        <f t="shared" ca="1" si="462"/>
        <v>1.4552386152694723</v>
      </c>
      <c r="AH975" s="304">
        <f t="shared" ca="1" si="463"/>
        <v>-8.3300267785155135</v>
      </c>
    </row>
    <row r="976" spans="1:34" x14ac:dyDescent="0.3">
      <c r="A976" s="347">
        <f t="shared" ca="1" si="441"/>
        <v>1E-4</v>
      </c>
      <c r="B976" s="304">
        <f t="shared" ca="1" si="442"/>
        <v>16.163099999999815</v>
      </c>
      <c r="D976" s="306">
        <f t="shared" ca="1" si="443"/>
        <v>-0.59115312781108542</v>
      </c>
      <c r="E976" s="307">
        <f t="shared" ca="1" si="444"/>
        <v>-1.500924973889818</v>
      </c>
      <c r="F976" s="304">
        <f t="shared" ca="1" si="445"/>
        <v>1.6131453120432084</v>
      </c>
      <c r="G976" s="306">
        <f t="shared" ca="1" si="446"/>
        <v>3.7169073049251464</v>
      </c>
      <c r="H976" s="307">
        <f t="shared" ca="1" si="447"/>
        <v>-52.244740203435455</v>
      </c>
      <c r="I976" s="304">
        <f t="shared" ca="1" si="448"/>
        <v>52.376791414116532</v>
      </c>
      <c r="J976" s="306">
        <f t="shared" ca="1" si="449"/>
        <v>150.09587023194715</v>
      </c>
      <c r="K976" s="307">
        <f t="shared" ca="1" si="450"/>
        <v>-6.1177898483761215</v>
      </c>
      <c r="L976" s="304">
        <f t="shared" ca="1" si="435"/>
        <v>150.22049664847472</v>
      </c>
      <c r="M976" s="306">
        <f t="shared" ca="1" si="451"/>
        <v>-1.4997718516490091</v>
      </c>
      <c r="N976" s="304">
        <f t="shared" ca="1" si="452"/>
        <v>-85.93059733200883</v>
      </c>
      <c r="P976" s="310">
        <f t="shared" ca="1" si="453"/>
        <v>23</v>
      </c>
      <c r="Q976" s="304">
        <f t="shared" ca="1" si="454"/>
        <v>0</v>
      </c>
      <c r="R976" s="306">
        <f t="shared" ca="1" si="455"/>
        <v>0</v>
      </c>
      <c r="S976" s="307">
        <f t="shared" ca="1" si="456"/>
        <v>0.4270000000000001</v>
      </c>
      <c r="T976" s="304">
        <f t="shared" ca="1" si="436"/>
        <v>4.1888700000000014</v>
      </c>
      <c r="U976" s="311">
        <f t="shared" ca="1" si="437"/>
        <v>0</v>
      </c>
      <c r="V976" s="306">
        <f t="shared" ca="1" si="438"/>
        <v>1.2257496585691054</v>
      </c>
      <c r="W976" s="304">
        <f t="shared" ca="1" si="439"/>
        <v>3.5569646809866908</v>
      </c>
      <c r="Y976" s="314" t="str">
        <f t="shared" ca="1" si="457"/>
        <v/>
      </c>
      <c r="Z976" s="315" t="str">
        <f t="shared" ca="1" si="458"/>
        <v/>
      </c>
      <c r="AA976" s="316" t="str">
        <f t="shared" ca="1" si="459"/>
        <v/>
      </c>
      <c r="AC976" s="310" t="e">
        <f t="shared" ca="1" si="460"/>
        <v>#N/A</v>
      </c>
      <c r="AD976" s="323" t="e">
        <f t="shared" ca="1" si="461"/>
        <v>#N/A</v>
      </c>
      <c r="AE976" s="324" t="e">
        <f t="shared" ca="1" si="440"/>
        <v>#N/A</v>
      </c>
      <c r="AG976" s="306">
        <f t="shared" ca="1" si="462"/>
        <v>1.4551888999418576</v>
      </c>
      <c r="AH976" s="304">
        <f t="shared" ca="1" si="463"/>
        <v>-8.3300774192109852</v>
      </c>
    </row>
    <row r="977" spans="1:34" x14ac:dyDescent="0.3">
      <c r="A977" s="347">
        <f t="shared" ca="1" si="441"/>
        <v>1E-4</v>
      </c>
      <c r="B977" s="304">
        <f t="shared" ca="1" si="442"/>
        <v>16.163199999999815</v>
      </c>
      <c r="D977" s="306">
        <f t="shared" ca="1" si="443"/>
        <v>-0.59114567723058786</v>
      </c>
      <c r="E977" s="307">
        <f t="shared" ca="1" si="444"/>
        <v>-1.5008736765180242</v>
      </c>
      <c r="F977" s="304">
        <f t="shared" ca="1" si="445"/>
        <v>1.6130948529374027</v>
      </c>
      <c r="G977" s="306">
        <f t="shared" ca="1" si="446"/>
        <v>3.7168481903574233</v>
      </c>
      <c r="H977" s="307">
        <f t="shared" ca="1" si="447"/>
        <v>-52.244890290803106</v>
      </c>
      <c r="I977" s="304">
        <f t="shared" ca="1" si="448"/>
        <v>52.376936928081392</v>
      </c>
      <c r="J977" s="306">
        <f t="shared" ca="1" si="449"/>
        <v>150.09587023194715</v>
      </c>
      <c r="K977" s="307">
        <f t="shared" ca="1" si="450"/>
        <v>-6.1230143299008333</v>
      </c>
      <c r="L977" s="304">
        <f t="shared" ca="1" si="435"/>
        <v>150.22070950827549</v>
      </c>
      <c r="M977" s="306">
        <f t="shared" ca="1" si="451"/>
        <v>-1.4997731807921393</v>
      </c>
      <c r="N977" s="304">
        <f t="shared" ca="1" si="452"/>
        <v>-85.930673486300563</v>
      </c>
      <c r="P977" s="310">
        <f t="shared" ca="1" si="453"/>
        <v>23</v>
      </c>
      <c r="Q977" s="304">
        <f t="shared" ca="1" si="454"/>
        <v>0</v>
      </c>
      <c r="R977" s="306">
        <f t="shared" ca="1" si="455"/>
        <v>0</v>
      </c>
      <c r="S977" s="307">
        <f t="shared" ca="1" si="456"/>
        <v>0.4270000000000001</v>
      </c>
      <c r="T977" s="304">
        <f t="shared" ca="1" si="436"/>
        <v>4.1888700000000014</v>
      </c>
      <c r="U977" s="311">
        <f t="shared" ca="1" si="437"/>
        <v>0</v>
      </c>
      <c r="V977" s="306">
        <f t="shared" ca="1" si="438"/>
        <v>1.2257502989599769</v>
      </c>
      <c r="W977" s="304">
        <f t="shared" ca="1" si="439"/>
        <v>3.5569863033769344</v>
      </c>
      <c r="Y977" s="314" t="str">
        <f t="shared" ca="1" si="457"/>
        <v/>
      </c>
      <c r="Z977" s="315" t="str">
        <f t="shared" ca="1" si="458"/>
        <v/>
      </c>
      <c r="AA977" s="316" t="str">
        <f t="shared" ca="1" si="459"/>
        <v/>
      </c>
      <c r="AC977" s="310" t="e">
        <f t="shared" ca="1" si="460"/>
        <v>#N/A</v>
      </c>
      <c r="AD977" s="323" t="e">
        <f t="shared" ca="1" si="461"/>
        <v>#N/A</v>
      </c>
      <c r="AE977" s="324" t="e">
        <f t="shared" ca="1" si="440"/>
        <v>#N/A</v>
      </c>
      <c r="AG977" s="306">
        <f t="shared" ca="1" si="462"/>
        <v>1.4551391859667149</v>
      </c>
      <c r="AH977" s="304">
        <f t="shared" ca="1" si="463"/>
        <v>-8.3301280585168378</v>
      </c>
    </row>
    <row r="978" spans="1:34" x14ac:dyDescent="0.3">
      <c r="A978" s="347">
        <f t="shared" ca="1" si="441"/>
        <v>1E-4</v>
      </c>
      <c r="B978" s="304">
        <f t="shared" ca="1" si="442"/>
        <v>16.163299999999815</v>
      </c>
      <c r="D978" s="306">
        <f t="shared" ca="1" si="443"/>
        <v>-0.5911382266531775</v>
      </c>
      <c r="E978" s="307">
        <f t="shared" ca="1" si="444"/>
        <v>-1.5008223805543075</v>
      </c>
      <c r="F978" s="304">
        <f t="shared" ca="1" si="445"/>
        <v>1.6130443952301381</v>
      </c>
      <c r="G978" s="306">
        <f t="shared" ca="1" si="446"/>
        <v>3.716789076534758</v>
      </c>
      <c r="H978" s="307">
        <f t="shared" ca="1" si="447"/>
        <v>-52.245040373041164</v>
      </c>
      <c r="I978" s="304">
        <f t="shared" ca="1" si="448"/>
        <v>52.377082437074989</v>
      </c>
      <c r="J978" s="306">
        <f t="shared" ca="1" si="449"/>
        <v>150.09587023194715</v>
      </c>
      <c r="K978" s="307">
        <f t="shared" ca="1" si="450"/>
        <v>-6.1282388264340257</v>
      </c>
      <c r="L978" s="304">
        <f t="shared" ca="1" si="435"/>
        <v>150.22092255008732</v>
      </c>
      <c r="M978" s="306">
        <f t="shared" ca="1" si="451"/>
        <v>-1.4997745099067457</v>
      </c>
      <c r="N978" s="304">
        <f t="shared" ca="1" si="452"/>
        <v>-85.930749638958005</v>
      </c>
      <c r="P978" s="310">
        <f t="shared" ca="1" si="453"/>
        <v>23</v>
      </c>
      <c r="Q978" s="304">
        <f t="shared" ca="1" si="454"/>
        <v>0</v>
      </c>
      <c r="R978" s="306">
        <f t="shared" ca="1" si="455"/>
        <v>0</v>
      </c>
      <c r="S978" s="307">
        <f t="shared" ca="1" si="456"/>
        <v>0.4270000000000001</v>
      </c>
      <c r="T978" s="304">
        <f t="shared" ca="1" si="436"/>
        <v>4.1888700000000014</v>
      </c>
      <c r="U978" s="311">
        <f t="shared" ca="1" si="437"/>
        <v>0</v>
      </c>
      <c r="V978" s="306">
        <f t="shared" ca="1" si="438"/>
        <v>1.2257509393530233</v>
      </c>
      <c r="W978" s="304">
        <f t="shared" ca="1" si="439"/>
        <v>3.5570079251738389</v>
      </c>
      <c r="Y978" s="314" t="str">
        <f t="shared" ca="1" si="457"/>
        <v/>
      </c>
      <c r="Z978" s="315" t="str">
        <f t="shared" ca="1" si="458"/>
        <v/>
      </c>
      <c r="AA978" s="316" t="str">
        <f t="shared" ca="1" si="459"/>
        <v/>
      </c>
      <c r="AC978" s="310" t="e">
        <f t="shared" ca="1" si="460"/>
        <v>#N/A</v>
      </c>
      <c r="AD978" s="323" t="e">
        <f t="shared" ca="1" si="461"/>
        <v>#N/A</v>
      </c>
      <c r="AE978" s="324" t="e">
        <f t="shared" ca="1" si="440"/>
        <v>#N/A</v>
      </c>
      <c r="AG978" s="306">
        <f t="shared" ca="1" si="462"/>
        <v>1.4550894733440192</v>
      </c>
      <c r="AH978" s="304">
        <f t="shared" ca="1" si="463"/>
        <v>-8.3301786964330997</v>
      </c>
    </row>
    <row r="979" spans="1:34" x14ac:dyDescent="0.3">
      <c r="A979" s="347">
        <f t="shared" ca="1" si="441"/>
        <v>1E-4</v>
      </c>
      <c r="B979" s="304">
        <f t="shared" ca="1" si="442"/>
        <v>16.163399999999815</v>
      </c>
      <c r="D979" s="306">
        <f t="shared" ca="1" si="443"/>
        <v>-0.59113077607885745</v>
      </c>
      <c r="E979" s="307">
        <f t="shared" ca="1" si="444"/>
        <v>-1.500771085998629</v>
      </c>
      <c r="F979" s="304">
        <f t="shared" ca="1" si="445"/>
        <v>1.6129939389213763</v>
      </c>
      <c r="G979" s="306">
        <f t="shared" ca="1" si="446"/>
        <v>3.71672996345715</v>
      </c>
      <c r="H979" s="307">
        <f t="shared" ca="1" si="447"/>
        <v>-52.245190450149764</v>
      </c>
      <c r="I979" s="304">
        <f t="shared" ca="1" si="448"/>
        <v>52.377227941097459</v>
      </c>
      <c r="J979" s="306">
        <f t="shared" ca="1" si="449"/>
        <v>150.09587023194715</v>
      </c>
      <c r="K979" s="307">
        <f t="shared" ca="1" si="450"/>
        <v>-6.1334633379751855</v>
      </c>
      <c r="L979" s="304">
        <f t="shared" ca="1" si="435"/>
        <v>150.22113577391099</v>
      </c>
      <c r="M979" s="306">
        <f t="shared" ca="1" si="451"/>
        <v>-1.4997758389928288</v>
      </c>
      <c r="N979" s="304">
        <f t="shared" ca="1" si="452"/>
        <v>-85.930825789981171</v>
      </c>
      <c r="P979" s="310">
        <f t="shared" ca="1" si="453"/>
        <v>23</v>
      </c>
      <c r="Q979" s="304">
        <f t="shared" ca="1" si="454"/>
        <v>0</v>
      </c>
      <c r="R979" s="306">
        <f t="shared" ca="1" si="455"/>
        <v>0</v>
      </c>
      <c r="S979" s="307">
        <f t="shared" ca="1" si="456"/>
        <v>0.4270000000000001</v>
      </c>
      <c r="T979" s="304">
        <f t="shared" ca="1" si="436"/>
        <v>4.1888700000000014</v>
      </c>
      <c r="U979" s="311">
        <f t="shared" ca="1" si="437"/>
        <v>0</v>
      </c>
      <c r="V979" s="306">
        <f t="shared" ca="1" si="438"/>
        <v>1.2257515797482434</v>
      </c>
      <c r="W979" s="304">
        <f t="shared" ca="1" si="439"/>
        <v>3.5570295463774104</v>
      </c>
      <c r="Y979" s="314" t="str">
        <f t="shared" ca="1" si="457"/>
        <v/>
      </c>
      <c r="Z979" s="315" t="str">
        <f t="shared" ca="1" si="458"/>
        <v/>
      </c>
      <c r="AA979" s="316" t="str">
        <f t="shared" ca="1" si="459"/>
        <v/>
      </c>
      <c r="AC979" s="310" t="e">
        <f t="shared" ca="1" si="460"/>
        <v>#N/A</v>
      </c>
      <c r="AD979" s="323" t="e">
        <f t="shared" ca="1" si="461"/>
        <v>#N/A</v>
      </c>
      <c r="AE979" s="324" t="e">
        <f t="shared" ca="1" si="440"/>
        <v>#N/A</v>
      </c>
      <c r="AG979" s="306">
        <f t="shared" ca="1" si="462"/>
        <v>1.4550397620737314</v>
      </c>
      <c r="AH979" s="304">
        <f t="shared" ca="1" si="463"/>
        <v>-8.3302293329598083</v>
      </c>
    </row>
    <row r="980" spans="1:34" x14ac:dyDescent="0.3">
      <c r="A980" s="347">
        <f t="shared" ca="1" si="441"/>
        <v>1E-4</v>
      </c>
      <c r="B980" s="304">
        <f t="shared" ca="1" si="442"/>
        <v>16.163499999999814</v>
      </c>
      <c r="D980" s="306">
        <f t="shared" ca="1" si="443"/>
        <v>-0.59112332550763347</v>
      </c>
      <c r="E980" s="307">
        <f t="shared" ca="1" si="444"/>
        <v>-1.5007197928509726</v>
      </c>
      <c r="F980" s="304">
        <f t="shared" ca="1" si="445"/>
        <v>1.6129434840111012</v>
      </c>
      <c r="G980" s="306">
        <f t="shared" ca="1" si="446"/>
        <v>3.7166708511245994</v>
      </c>
      <c r="H980" s="307">
        <f t="shared" ca="1" si="447"/>
        <v>-52.245340522129048</v>
      </c>
      <c r="I980" s="304">
        <f t="shared" ca="1" si="448"/>
        <v>52.377373440148929</v>
      </c>
      <c r="J980" s="306">
        <f t="shared" ca="1" si="449"/>
        <v>150.09587023194715</v>
      </c>
      <c r="K980" s="307">
        <f t="shared" ca="1" si="450"/>
        <v>-6.1386878645237992</v>
      </c>
      <c r="L980" s="304">
        <f t="shared" ca="1" si="435"/>
        <v>150.22134917974731</v>
      </c>
      <c r="M980" s="306">
        <f t="shared" ca="1" si="451"/>
        <v>-1.4997771680503895</v>
      </c>
      <c r="N980" s="304">
        <f t="shared" ca="1" si="452"/>
        <v>-85.930901939370131</v>
      </c>
      <c r="P980" s="310">
        <f t="shared" ca="1" si="453"/>
        <v>23</v>
      </c>
      <c r="Q980" s="304">
        <f t="shared" ca="1" si="454"/>
        <v>0</v>
      </c>
      <c r="R980" s="306">
        <f t="shared" ca="1" si="455"/>
        <v>0</v>
      </c>
      <c r="S980" s="307">
        <f t="shared" ca="1" si="456"/>
        <v>0.4270000000000001</v>
      </c>
      <c r="T980" s="304">
        <f t="shared" ca="1" si="436"/>
        <v>4.1888700000000014</v>
      </c>
      <c r="U980" s="311">
        <f t="shared" ca="1" si="437"/>
        <v>0</v>
      </c>
      <c r="V980" s="306">
        <f t="shared" ca="1" si="438"/>
        <v>1.2257522201456383</v>
      </c>
      <c r="W980" s="304">
        <f t="shared" ca="1" si="439"/>
        <v>3.5570511669876628</v>
      </c>
      <c r="Y980" s="314" t="str">
        <f t="shared" ca="1" si="457"/>
        <v/>
      </c>
      <c r="Z980" s="315" t="str">
        <f t="shared" ca="1" si="458"/>
        <v/>
      </c>
      <c r="AA980" s="316" t="str">
        <f t="shared" ca="1" si="459"/>
        <v/>
      </c>
      <c r="AC980" s="310" t="e">
        <f t="shared" ca="1" si="460"/>
        <v>#N/A</v>
      </c>
      <c r="AD980" s="323" t="e">
        <f t="shared" ca="1" si="461"/>
        <v>#N/A</v>
      </c>
      <c r="AE980" s="324" t="e">
        <f t="shared" ca="1" si="440"/>
        <v>#N/A</v>
      </c>
      <c r="AG980" s="306">
        <f t="shared" ca="1" si="462"/>
        <v>1.4549900521558428</v>
      </c>
      <c r="AH980" s="304">
        <f t="shared" ca="1" si="463"/>
        <v>-8.3302799680969777</v>
      </c>
    </row>
    <row r="981" spans="1:34" x14ac:dyDescent="0.3">
      <c r="A981" s="347">
        <f t="shared" ca="1" si="441"/>
        <v>1E-4</v>
      </c>
      <c r="B981" s="304">
        <f t="shared" ca="1" si="442"/>
        <v>16.163599999999814</v>
      </c>
      <c r="D981" s="306">
        <f t="shared" ca="1" si="443"/>
        <v>-0.59111587493951212</v>
      </c>
      <c r="E981" s="307">
        <f t="shared" ca="1" si="444"/>
        <v>-1.5006685011113081</v>
      </c>
      <c r="F981" s="304">
        <f t="shared" ca="1" si="445"/>
        <v>1.6128930304992841</v>
      </c>
      <c r="G981" s="306">
        <f t="shared" ca="1" si="446"/>
        <v>3.7166117395371052</v>
      </c>
      <c r="H981" s="307">
        <f t="shared" ca="1" si="447"/>
        <v>-52.245490588979159</v>
      </c>
      <c r="I981" s="304">
        <f t="shared" ca="1" si="448"/>
        <v>52.377518934229549</v>
      </c>
      <c r="J981" s="306">
        <f t="shared" ca="1" si="449"/>
        <v>150.09587023194715</v>
      </c>
      <c r="K981" s="307">
        <f t="shared" ca="1" si="450"/>
        <v>-6.1439124060793544</v>
      </c>
      <c r="L981" s="304">
        <f t="shared" ca="1" si="435"/>
        <v>150.22156276759702</v>
      </c>
      <c r="M981" s="306">
        <f t="shared" ca="1" si="451"/>
        <v>-1.4997784970794286</v>
      </c>
      <c r="N981" s="304">
        <f t="shared" ca="1" si="452"/>
        <v>-85.930978087124913</v>
      </c>
      <c r="P981" s="310">
        <f t="shared" ca="1" si="453"/>
        <v>23</v>
      </c>
      <c r="Q981" s="304">
        <f t="shared" ca="1" si="454"/>
        <v>0</v>
      </c>
      <c r="R981" s="306">
        <f t="shared" ca="1" si="455"/>
        <v>0</v>
      </c>
      <c r="S981" s="307">
        <f t="shared" ca="1" si="456"/>
        <v>0.4270000000000001</v>
      </c>
      <c r="T981" s="304">
        <f t="shared" ca="1" si="436"/>
        <v>4.1888700000000014</v>
      </c>
      <c r="U981" s="311">
        <f t="shared" ca="1" si="437"/>
        <v>0</v>
      </c>
      <c r="V981" s="306">
        <f t="shared" ca="1" si="438"/>
        <v>1.2257528605452068</v>
      </c>
      <c r="W981" s="304">
        <f t="shared" ca="1" si="439"/>
        <v>3.5570727870046084</v>
      </c>
      <c r="Y981" s="314" t="str">
        <f t="shared" ca="1" si="457"/>
        <v/>
      </c>
      <c r="Z981" s="315" t="str">
        <f t="shared" ca="1" si="458"/>
        <v/>
      </c>
      <c r="AA981" s="316" t="str">
        <f t="shared" ca="1" si="459"/>
        <v/>
      </c>
      <c r="AC981" s="310" t="e">
        <f t="shared" ca="1" si="460"/>
        <v>#N/A</v>
      </c>
      <c r="AD981" s="323" t="e">
        <f t="shared" ca="1" si="461"/>
        <v>#N/A</v>
      </c>
      <c r="AE981" s="324" t="e">
        <f t="shared" ca="1" si="440"/>
        <v>#N/A</v>
      </c>
      <c r="AG981" s="306">
        <f t="shared" ca="1" si="462"/>
        <v>1.4549403435903159</v>
      </c>
      <c r="AH981" s="304">
        <f t="shared" ca="1" si="463"/>
        <v>-8.3303306018446417</v>
      </c>
    </row>
    <row r="982" spans="1:34" x14ac:dyDescent="0.3">
      <c r="A982" s="347">
        <f t="shared" ca="1" si="441"/>
        <v>1E-4</v>
      </c>
      <c r="B982" s="304">
        <f t="shared" ca="1" si="442"/>
        <v>16.163699999999814</v>
      </c>
      <c r="D982" s="306">
        <f t="shared" ca="1" si="443"/>
        <v>-0.59110842437449806</v>
      </c>
      <c r="E982" s="307">
        <f t="shared" ca="1" si="444"/>
        <v>-1.5006172107796036</v>
      </c>
      <c r="F982" s="304">
        <f t="shared" ca="1" si="445"/>
        <v>1.6128425783858942</v>
      </c>
      <c r="G982" s="306">
        <f t="shared" ca="1" si="446"/>
        <v>3.716552628694668</v>
      </c>
      <c r="H982" s="307">
        <f t="shared" ca="1" si="447"/>
        <v>-52.245640650700238</v>
      </c>
      <c r="I982" s="304">
        <f t="shared" ca="1" si="448"/>
        <v>52.377664423339446</v>
      </c>
      <c r="J982" s="306">
        <f t="shared" ca="1" si="449"/>
        <v>150.09587023194715</v>
      </c>
      <c r="K982" s="307">
        <f t="shared" ca="1" si="450"/>
        <v>-6.1491369626413386</v>
      </c>
      <c r="L982" s="304">
        <f t="shared" ca="1" si="435"/>
        <v>150.2217765374609</v>
      </c>
      <c r="M982" s="306">
        <f t="shared" ca="1" si="451"/>
        <v>-1.4997798260799471</v>
      </c>
      <c r="N982" s="304">
        <f t="shared" ca="1" si="452"/>
        <v>-85.931054233245604</v>
      </c>
      <c r="P982" s="310">
        <f t="shared" ca="1" si="453"/>
        <v>23</v>
      </c>
      <c r="Q982" s="304">
        <f t="shared" ca="1" si="454"/>
        <v>0</v>
      </c>
      <c r="R982" s="306">
        <f t="shared" ca="1" si="455"/>
        <v>0</v>
      </c>
      <c r="S982" s="307">
        <f t="shared" ca="1" si="456"/>
        <v>0.4270000000000001</v>
      </c>
      <c r="T982" s="304">
        <f t="shared" ca="1" si="436"/>
        <v>4.1888700000000014</v>
      </c>
      <c r="U982" s="311">
        <f t="shared" ca="1" si="437"/>
        <v>0</v>
      </c>
      <c r="V982" s="306">
        <f t="shared" ca="1" si="438"/>
        <v>1.22575350094695</v>
      </c>
      <c r="W982" s="304">
        <f t="shared" ca="1" si="439"/>
        <v>3.5570944064282588</v>
      </c>
      <c r="Y982" s="314" t="str">
        <f t="shared" ca="1" si="457"/>
        <v/>
      </c>
      <c r="Z982" s="315" t="str">
        <f t="shared" ca="1" si="458"/>
        <v/>
      </c>
      <c r="AA982" s="316" t="str">
        <f t="shared" ca="1" si="459"/>
        <v/>
      </c>
      <c r="AC982" s="310" t="e">
        <f t="shared" ca="1" si="460"/>
        <v>#N/A</v>
      </c>
      <c r="AD982" s="323" t="e">
        <f t="shared" ca="1" si="461"/>
        <v>#N/A</v>
      </c>
      <c r="AE982" s="324" t="e">
        <f t="shared" ca="1" si="440"/>
        <v>#N/A</v>
      </c>
      <c r="AG982" s="306">
        <f t="shared" ca="1" si="462"/>
        <v>1.4548906363771312</v>
      </c>
      <c r="AH982" s="304">
        <f t="shared" ca="1" si="463"/>
        <v>-8.3303812342028287</v>
      </c>
    </row>
    <row r="983" spans="1:34" x14ac:dyDescent="0.3">
      <c r="A983" s="347">
        <f t="shared" ca="1" si="441"/>
        <v>1E-4</v>
      </c>
      <c r="B983" s="304">
        <f t="shared" ca="1" si="442"/>
        <v>16.163799999999814</v>
      </c>
      <c r="D983" s="306">
        <f t="shared" ca="1" si="443"/>
        <v>-0.59110097381259352</v>
      </c>
      <c r="E983" s="307">
        <f t="shared" ca="1" si="444"/>
        <v>-1.5005659218558343</v>
      </c>
      <c r="F983" s="304">
        <f t="shared" ca="1" si="445"/>
        <v>1.6127921276709054</v>
      </c>
      <c r="G983" s="306">
        <f t="shared" ca="1" si="446"/>
        <v>3.7164935185972867</v>
      </c>
      <c r="H983" s="307">
        <f t="shared" ca="1" si="447"/>
        <v>-52.245790707292421</v>
      </c>
      <c r="I983" s="304">
        <f t="shared" ca="1" si="448"/>
        <v>52.377809907478749</v>
      </c>
      <c r="J983" s="306">
        <f t="shared" ca="1" si="449"/>
        <v>150.09587023194715</v>
      </c>
      <c r="K983" s="307">
        <f t="shared" ca="1" si="450"/>
        <v>-6.1543615342092384</v>
      </c>
      <c r="L983" s="304">
        <f t="shared" ca="1" si="435"/>
        <v>150.2219904893397</v>
      </c>
      <c r="M983" s="306">
        <f t="shared" ca="1" si="451"/>
        <v>-1.4997811550519455</v>
      </c>
      <c r="N983" s="304">
        <f t="shared" ca="1" si="452"/>
        <v>-85.931130377732202</v>
      </c>
      <c r="P983" s="310">
        <f t="shared" ca="1" si="453"/>
        <v>23</v>
      </c>
      <c r="Q983" s="304">
        <f t="shared" ca="1" si="454"/>
        <v>0</v>
      </c>
      <c r="R983" s="306">
        <f t="shared" ca="1" si="455"/>
        <v>0</v>
      </c>
      <c r="S983" s="307">
        <f t="shared" ca="1" si="456"/>
        <v>0.4270000000000001</v>
      </c>
      <c r="T983" s="304">
        <f t="shared" ca="1" si="436"/>
        <v>4.1888700000000014</v>
      </c>
      <c r="U983" s="311">
        <f t="shared" ca="1" si="437"/>
        <v>0</v>
      </c>
      <c r="V983" s="306">
        <f t="shared" ca="1" si="438"/>
        <v>1.2257541413508668</v>
      </c>
      <c r="W983" s="304">
        <f t="shared" ca="1" si="439"/>
        <v>3.5571160252586247</v>
      </c>
      <c r="Y983" s="314" t="str">
        <f t="shared" ca="1" si="457"/>
        <v/>
      </c>
      <c r="Z983" s="315" t="str">
        <f t="shared" ca="1" si="458"/>
        <v/>
      </c>
      <c r="AA983" s="316" t="str">
        <f t="shared" ca="1" si="459"/>
        <v/>
      </c>
      <c r="AC983" s="310" t="e">
        <f t="shared" ca="1" si="460"/>
        <v>#N/A</v>
      </c>
      <c r="AD983" s="323" t="e">
        <f t="shared" ca="1" si="461"/>
        <v>#N/A</v>
      </c>
      <c r="AE983" s="324" t="e">
        <f t="shared" ca="1" si="440"/>
        <v>#N/A</v>
      </c>
      <c r="AG983" s="306">
        <f t="shared" ca="1" si="462"/>
        <v>1.4548409305162586</v>
      </c>
      <c r="AH983" s="304">
        <f t="shared" ca="1" si="463"/>
        <v>-8.3304318651715636</v>
      </c>
    </row>
    <row r="984" spans="1:34" x14ac:dyDescent="0.3">
      <c r="A984" s="347">
        <f t="shared" ca="1" si="441"/>
        <v>1E-4</v>
      </c>
      <c r="B984" s="304">
        <f t="shared" ca="1" si="442"/>
        <v>16.163899999999813</v>
      </c>
      <c r="D984" s="306">
        <f t="shared" ca="1" si="443"/>
        <v>-0.59109352325380704</v>
      </c>
      <c r="E984" s="307">
        <f t="shared" ca="1" si="444"/>
        <v>-1.5005146343399733</v>
      </c>
      <c r="F984" s="304">
        <f t="shared" ca="1" si="445"/>
        <v>1.6127416783542934</v>
      </c>
      <c r="G984" s="306">
        <f t="shared" ca="1" si="446"/>
        <v>3.7164344092449615</v>
      </c>
      <c r="H984" s="307">
        <f t="shared" ca="1" si="447"/>
        <v>-52.245940758755857</v>
      </c>
      <c r="I984" s="304">
        <f t="shared" ca="1" si="448"/>
        <v>52.377955386647599</v>
      </c>
      <c r="J984" s="306">
        <f t="shared" ca="1" si="449"/>
        <v>150.09587023194715</v>
      </c>
      <c r="K984" s="307">
        <f t="shared" ca="1" si="450"/>
        <v>-6.1595861207825404</v>
      </c>
      <c r="L984" s="304">
        <f t="shared" ca="1" si="435"/>
        <v>150.22220462323421</v>
      </c>
      <c r="M984" s="306">
        <f t="shared" ca="1" si="451"/>
        <v>-1.4997824839954248</v>
      </c>
      <c r="N984" s="304">
        <f t="shared" ca="1" si="452"/>
        <v>-85.93120652058478</v>
      </c>
      <c r="P984" s="310">
        <f t="shared" ca="1" si="453"/>
        <v>23</v>
      </c>
      <c r="Q984" s="304">
        <f t="shared" ca="1" si="454"/>
        <v>0</v>
      </c>
      <c r="R984" s="306">
        <f t="shared" ca="1" si="455"/>
        <v>0</v>
      </c>
      <c r="S984" s="307">
        <f t="shared" ca="1" si="456"/>
        <v>0.4270000000000001</v>
      </c>
      <c r="T984" s="304">
        <f t="shared" ca="1" si="436"/>
        <v>4.1888700000000014</v>
      </c>
      <c r="U984" s="311">
        <f t="shared" ca="1" si="437"/>
        <v>0</v>
      </c>
      <c r="V984" s="306">
        <f t="shared" ca="1" si="438"/>
        <v>1.2257547817569576</v>
      </c>
      <c r="W984" s="304">
        <f t="shared" ca="1" si="439"/>
        <v>3.5571376434957176</v>
      </c>
      <c r="Y984" s="314" t="str">
        <f t="shared" ca="1" si="457"/>
        <v/>
      </c>
      <c r="Z984" s="315" t="str">
        <f t="shared" ca="1" si="458"/>
        <v/>
      </c>
      <c r="AA984" s="316" t="str">
        <f t="shared" ca="1" si="459"/>
        <v/>
      </c>
      <c r="AC984" s="310" t="e">
        <f t="shared" ca="1" si="460"/>
        <v>#N/A</v>
      </c>
      <c r="AD984" s="323" t="e">
        <f t="shared" ca="1" si="461"/>
        <v>#N/A</v>
      </c>
      <c r="AE984" s="324" t="e">
        <f t="shared" ca="1" si="440"/>
        <v>#N/A</v>
      </c>
      <c r="AG984" s="306">
        <f t="shared" ca="1" si="462"/>
        <v>1.4547912260076785</v>
      </c>
      <c r="AH984" s="304">
        <f t="shared" ca="1" si="463"/>
        <v>-8.3304824947508749</v>
      </c>
    </row>
    <row r="985" spans="1:34" x14ac:dyDescent="0.3">
      <c r="A985" s="347">
        <f t="shared" ca="1" si="441"/>
        <v>1E-4</v>
      </c>
      <c r="B985" s="304">
        <f t="shared" ca="1" si="442"/>
        <v>16.163999999999813</v>
      </c>
      <c r="D985" s="306">
        <f t="shared" ca="1" si="443"/>
        <v>-0.59108607269814284</v>
      </c>
      <c r="E985" s="307">
        <f t="shared" ca="1" si="444"/>
        <v>-1.5004633482319907</v>
      </c>
      <c r="F985" s="304">
        <f t="shared" ca="1" si="445"/>
        <v>1.6126912304360281</v>
      </c>
      <c r="G985" s="306">
        <f t="shared" ca="1" si="446"/>
        <v>3.7163753006376918</v>
      </c>
      <c r="H985" s="307">
        <f t="shared" ca="1" si="447"/>
        <v>-52.246090805090681</v>
      </c>
      <c r="I985" s="304">
        <f t="shared" ca="1" si="448"/>
        <v>52.378100860846139</v>
      </c>
      <c r="J985" s="306">
        <f t="shared" ca="1" si="449"/>
        <v>150.09587023194715</v>
      </c>
      <c r="K985" s="307">
        <f t="shared" ca="1" si="450"/>
        <v>-6.1648107223607331</v>
      </c>
      <c r="L985" s="304">
        <f t="shared" ca="1" si="435"/>
        <v>150.2224189391452</v>
      </c>
      <c r="M985" s="306">
        <f t="shared" ca="1" si="451"/>
        <v>-1.499783812910386</v>
      </c>
      <c r="N985" s="304">
        <f t="shared" ca="1" si="452"/>
        <v>-85.93128266180338</v>
      </c>
      <c r="P985" s="310">
        <f t="shared" ca="1" si="453"/>
        <v>23</v>
      </c>
      <c r="Q985" s="304">
        <f t="shared" ca="1" si="454"/>
        <v>0</v>
      </c>
      <c r="R985" s="306">
        <f t="shared" ca="1" si="455"/>
        <v>0</v>
      </c>
      <c r="S985" s="307">
        <f t="shared" ca="1" si="456"/>
        <v>0.4270000000000001</v>
      </c>
      <c r="T985" s="304">
        <f t="shared" ca="1" si="436"/>
        <v>4.1888700000000014</v>
      </c>
      <c r="U985" s="311">
        <f t="shared" ca="1" si="437"/>
        <v>0</v>
      </c>
      <c r="V985" s="306">
        <f t="shared" ca="1" si="438"/>
        <v>1.2257554221652223</v>
      </c>
      <c r="W985" s="304">
        <f t="shared" ca="1" si="439"/>
        <v>3.5571592611395504</v>
      </c>
      <c r="Y985" s="314" t="str">
        <f t="shared" ca="1" si="457"/>
        <v/>
      </c>
      <c r="Z985" s="315" t="str">
        <f t="shared" ca="1" si="458"/>
        <v/>
      </c>
      <c r="AA985" s="316" t="str">
        <f t="shared" ca="1" si="459"/>
        <v/>
      </c>
      <c r="AC985" s="310" t="e">
        <f t="shared" ca="1" si="460"/>
        <v>#N/A</v>
      </c>
      <c r="AD985" s="323" t="e">
        <f t="shared" ca="1" si="461"/>
        <v>#N/A</v>
      </c>
      <c r="AE985" s="324" t="e">
        <f t="shared" ca="1" si="440"/>
        <v>#N/A</v>
      </c>
      <c r="AG985" s="306">
        <f t="shared" ca="1" si="462"/>
        <v>1.4547415228513572</v>
      </c>
      <c r="AH985" s="304">
        <f t="shared" ca="1" si="463"/>
        <v>-8.3305331229407891</v>
      </c>
    </row>
    <row r="986" spans="1:34" x14ac:dyDescent="0.3">
      <c r="A986" s="347">
        <f t="shared" ca="1" si="441"/>
        <v>1E-4</v>
      </c>
      <c r="B986" s="304">
        <f t="shared" ca="1" si="442"/>
        <v>16.164099999999813</v>
      </c>
      <c r="D986" s="306">
        <f t="shared" ca="1" si="443"/>
        <v>-0.5910786221456038</v>
      </c>
      <c r="E986" s="307">
        <f t="shared" ca="1" si="444"/>
        <v>-1.5004120635318596</v>
      </c>
      <c r="F986" s="304">
        <f t="shared" ca="1" si="445"/>
        <v>1.612640783916083</v>
      </c>
      <c r="G986" s="306">
        <f t="shared" ca="1" si="446"/>
        <v>3.7163161927754773</v>
      </c>
      <c r="H986" s="307">
        <f t="shared" ca="1" si="447"/>
        <v>-52.246240846297034</v>
      </c>
      <c r="I986" s="304">
        <f t="shared" ca="1" si="448"/>
        <v>52.378246330074489</v>
      </c>
      <c r="J986" s="306">
        <f t="shared" ca="1" si="449"/>
        <v>150.09587023194715</v>
      </c>
      <c r="K986" s="307">
        <f t="shared" ca="1" si="450"/>
        <v>-6.1700353389433022</v>
      </c>
      <c r="L986" s="304">
        <f t="shared" ca="1" si="435"/>
        <v>150.2226334370734</v>
      </c>
      <c r="M986" s="306">
        <f t="shared" ca="1" si="451"/>
        <v>-1.4997851417968295</v>
      </c>
      <c r="N986" s="304">
        <f t="shared" ca="1" si="452"/>
        <v>-85.931358801388058</v>
      </c>
      <c r="P986" s="310">
        <f t="shared" ca="1" si="453"/>
        <v>23</v>
      </c>
      <c r="Q986" s="304">
        <f t="shared" ca="1" si="454"/>
        <v>0</v>
      </c>
      <c r="R986" s="306">
        <f t="shared" ca="1" si="455"/>
        <v>0</v>
      </c>
      <c r="S986" s="307">
        <f t="shared" ca="1" si="456"/>
        <v>0.4270000000000001</v>
      </c>
      <c r="T986" s="304">
        <f t="shared" ca="1" si="436"/>
        <v>4.1888700000000014</v>
      </c>
      <c r="U986" s="311">
        <f t="shared" ca="1" si="437"/>
        <v>0</v>
      </c>
      <c r="V986" s="306">
        <f t="shared" ca="1" si="438"/>
        <v>1.2257560625756612</v>
      </c>
      <c r="W986" s="304">
        <f t="shared" ca="1" si="439"/>
        <v>3.5571808781901355</v>
      </c>
      <c r="Y986" s="314" t="str">
        <f t="shared" ca="1" si="457"/>
        <v/>
      </c>
      <c r="Z986" s="315" t="str">
        <f t="shared" ca="1" si="458"/>
        <v/>
      </c>
      <c r="AA986" s="316" t="str">
        <f t="shared" ca="1" si="459"/>
        <v/>
      </c>
      <c r="AC986" s="310" t="e">
        <f t="shared" ca="1" si="460"/>
        <v>#N/A</v>
      </c>
      <c r="AD986" s="323" t="e">
        <f t="shared" ca="1" si="461"/>
        <v>#N/A</v>
      </c>
      <c r="AE986" s="324" t="e">
        <f t="shared" ca="1" si="440"/>
        <v>#N/A</v>
      </c>
      <c r="AG986" s="306">
        <f t="shared" ca="1" si="462"/>
        <v>1.4546918210472768</v>
      </c>
      <c r="AH986" s="304">
        <f t="shared" ca="1" si="463"/>
        <v>-8.3305837497413346</v>
      </c>
    </row>
    <row r="987" spans="1:34" x14ac:dyDescent="0.3">
      <c r="A987" s="347">
        <f t="shared" ca="1" si="441"/>
        <v>1E-4</v>
      </c>
      <c r="B987" s="304">
        <f t="shared" ca="1" si="442"/>
        <v>16.164199999999813</v>
      </c>
      <c r="D987" s="306">
        <f t="shared" ca="1" si="443"/>
        <v>-0.59107117159619793</v>
      </c>
      <c r="E987" s="307">
        <f t="shared" ca="1" si="444"/>
        <v>-1.5003607802395518</v>
      </c>
      <c r="F987" s="304">
        <f t="shared" ca="1" si="445"/>
        <v>1.6125903387944314</v>
      </c>
      <c r="G987" s="306">
        <f t="shared" ca="1" si="446"/>
        <v>3.7162570856583175</v>
      </c>
      <c r="H987" s="307">
        <f t="shared" ca="1" si="447"/>
        <v>-52.24639088237506</v>
      </c>
      <c r="I987" s="304">
        <f t="shared" ca="1" si="448"/>
        <v>52.378391794332799</v>
      </c>
      <c r="J987" s="306">
        <f t="shared" ca="1" si="449"/>
        <v>150.09587023194715</v>
      </c>
      <c r="K987" s="307">
        <f t="shared" ca="1" si="450"/>
        <v>-6.1752599705297362</v>
      </c>
      <c r="L987" s="304">
        <f t="shared" ca="1" si="435"/>
        <v>150.22284811701962</v>
      </c>
      <c r="M987" s="306">
        <f t="shared" ca="1" si="451"/>
        <v>-1.4997864706547563</v>
      </c>
      <c r="N987" s="304">
        <f t="shared" ca="1" si="452"/>
        <v>-85.931434939338828</v>
      </c>
      <c r="P987" s="310">
        <f t="shared" ca="1" si="453"/>
        <v>23</v>
      </c>
      <c r="Q987" s="304">
        <f t="shared" ca="1" si="454"/>
        <v>0</v>
      </c>
      <c r="R987" s="306">
        <f t="shared" ca="1" si="455"/>
        <v>0</v>
      </c>
      <c r="S987" s="307">
        <f t="shared" ca="1" si="456"/>
        <v>0.4270000000000001</v>
      </c>
      <c r="T987" s="304">
        <f t="shared" ca="1" si="436"/>
        <v>4.1888700000000014</v>
      </c>
      <c r="U987" s="311">
        <f t="shared" ca="1" si="437"/>
        <v>0</v>
      </c>
      <c r="V987" s="306">
        <f t="shared" ca="1" si="438"/>
        <v>1.2257567029882737</v>
      </c>
      <c r="W987" s="304">
        <f t="shared" ca="1" si="439"/>
        <v>3.5572024946474832</v>
      </c>
      <c r="Y987" s="314" t="str">
        <f t="shared" ca="1" si="457"/>
        <v/>
      </c>
      <c r="Z987" s="315" t="str">
        <f t="shared" ca="1" si="458"/>
        <v/>
      </c>
      <c r="AA987" s="316" t="str">
        <f t="shared" ca="1" si="459"/>
        <v/>
      </c>
      <c r="AC987" s="310" t="e">
        <f t="shared" ca="1" si="460"/>
        <v>#N/A</v>
      </c>
      <c r="AD987" s="323" t="e">
        <f t="shared" ca="1" si="461"/>
        <v>#N/A</v>
      </c>
      <c r="AE987" s="324" t="e">
        <f t="shared" ca="1" si="440"/>
        <v>#N/A</v>
      </c>
      <c r="AG987" s="306">
        <f t="shared" ca="1" si="462"/>
        <v>1.4546421205954054</v>
      </c>
      <c r="AH987" s="304">
        <f t="shared" ca="1" si="463"/>
        <v>-8.33063437515254</v>
      </c>
    </row>
    <row r="988" spans="1:34" x14ac:dyDescent="0.3">
      <c r="A988" s="347">
        <f t="shared" ca="1" si="441"/>
        <v>1E-4</v>
      </c>
      <c r="B988" s="304">
        <f t="shared" ca="1" si="442"/>
        <v>16.164299999999812</v>
      </c>
      <c r="D988" s="306">
        <f t="shared" ca="1" si="443"/>
        <v>-0.59106372104992977</v>
      </c>
      <c r="E988" s="307">
        <f t="shared" ca="1" si="444"/>
        <v>-1.5003094983550369</v>
      </c>
      <c r="F988" s="304">
        <f t="shared" ca="1" si="445"/>
        <v>1.6125398950710434</v>
      </c>
      <c r="G988" s="306">
        <f t="shared" ca="1" si="446"/>
        <v>3.7161979792862123</v>
      </c>
      <c r="H988" s="307">
        <f t="shared" ca="1" si="447"/>
        <v>-52.246540913324893</v>
      </c>
      <c r="I988" s="304">
        <f t="shared" ca="1" si="448"/>
        <v>52.37853725362119</v>
      </c>
      <c r="J988" s="306">
        <f t="shared" ca="1" si="449"/>
        <v>150.09587023194715</v>
      </c>
      <c r="K988" s="307">
        <f t="shared" ca="1" si="450"/>
        <v>-6.1804846171195216</v>
      </c>
      <c r="L988" s="304">
        <f t="shared" ca="1" si="435"/>
        <v>150.22306297898459</v>
      </c>
      <c r="M988" s="306">
        <f t="shared" ca="1" si="451"/>
        <v>-1.4997877994841675</v>
      </c>
      <c r="N988" s="304">
        <f t="shared" ca="1" si="452"/>
        <v>-85.931511075655777</v>
      </c>
      <c r="P988" s="310">
        <f t="shared" ca="1" si="453"/>
        <v>23</v>
      </c>
      <c r="Q988" s="304">
        <f t="shared" ca="1" si="454"/>
        <v>0</v>
      </c>
      <c r="R988" s="306">
        <f t="shared" ca="1" si="455"/>
        <v>0</v>
      </c>
      <c r="S988" s="307">
        <f t="shared" ca="1" si="456"/>
        <v>0.4270000000000001</v>
      </c>
      <c r="T988" s="304">
        <f t="shared" ca="1" si="436"/>
        <v>4.1888700000000014</v>
      </c>
      <c r="U988" s="311">
        <f t="shared" ca="1" si="437"/>
        <v>0</v>
      </c>
      <c r="V988" s="306">
        <f t="shared" ca="1" si="438"/>
        <v>1.2257573434030595</v>
      </c>
      <c r="W988" s="304">
        <f t="shared" ca="1" si="439"/>
        <v>3.5572241105116027</v>
      </c>
      <c r="Y988" s="314" t="str">
        <f t="shared" ca="1" si="457"/>
        <v/>
      </c>
      <c r="Z988" s="315" t="str">
        <f t="shared" ca="1" si="458"/>
        <v/>
      </c>
      <c r="AA988" s="316" t="str">
        <f t="shared" ca="1" si="459"/>
        <v/>
      </c>
      <c r="AC988" s="310" t="e">
        <f t="shared" ca="1" si="460"/>
        <v>#N/A</v>
      </c>
      <c r="AD988" s="323" t="e">
        <f t="shared" ca="1" si="461"/>
        <v>#N/A</v>
      </c>
      <c r="AE988" s="324" t="e">
        <f t="shared" ca="1" si="440"/>
        <v>#N/A</v>
      </c>
      <c r="AG988" s="306">
        <f t="shared" ca="1" si="462"/>
        <v>1.4545924214957182</v>
      </c>
      <c r="AH988" s="304">
        <f t="shared" ca="1" si="463"/>
        <v>-8.3306849991744318</v>
      </c>
    </row>
    <row r="989" spans="1:34" x14ac:dyDescent="0.3">
      <c r="A989" s="347">
        <f t="shared" ca="1" si="441"/>
        <v>1E-4</v>
      </c>
      <c r="B989" s="304">
        <f t="shared" ca="1" si="442"/>
        <v>16.164399999999812</v>
      </c>
      <c r="D989" s="306">
        <f t="shared" ca="1" si="443"/>
        <v>-0.59105627050680143</v>
      </c>
      <c r="E989" s="307">
        <f t="shared" ca="1" si="444"/>
        <v>-1.500258217878299</v>
      </c>
      <c r="F989" s="304">
        <f t="shared" ca="1" si="445"/>
        <v>1.6124894527459022</v>
      </c>
      <c r="G989" s="306">
        <f t="shared" ca="1" si="446"/>
        <v>3.7161388736591618</v>
      </c>
      <c r="H989" s="307">
        <f t="shared" ca="1" si="447"/>
        <v>-52.246690939146681</v>
      </c>
      <c r="I989" s="304">
        <f t="shared" ca="1" si="448"/>
        <v>52.378682707939809</v>
      </c>
      <c r="J989" s="306">
        <f t="shared" ca="1" si="449"/>
        <v>150.09587023194715</v>
      </c>
      <c r="K989" s="307">
        <f t="shared" ca="1" si="450"/>
        <v>-6.185709278712145</v>
      </c>
      <c r="L989" s="304">
        <f t="shared" ca="1" si="435"/>
        <v>150.22327802296905</v>
      </c>
      <c r="M989" s="306">
        <f t="shared" ca="1" si="451"/>
        <v>-1.4997891282850633</v>
      </c>
      <c r="N989" s="304">
        <f t="shared" ca="1" si="452"/>
        <v>-85.931587210338918</v>
      </c>
      <c r="P989" s="310">
        <f t="shared" ca="1" si="453"/>
        <v>23</v>
      </c>
      <c r="Q989" s="304">
        <f t="shared" ca="1" si="454"/>
        <v>0</v>
      </c>
      <c r="R989" s="306">
        <f t="shared" ca="1" si="455"/>
        <v>0</v>
      </c>
      <c r="S989" s="307">
        <f t="shared" ca="1" si="456"/>
        <v>0.4270000000000001</v>
      </c>
      <c r="T989" s="304">
        <f t="shared" ca="1" si="436"/>
        <v>4.1888700000000014</v>
      </c>
      <c r="U989" s="311">
        <f t="shared" ca="1" si="437"/>
        <v>0</v>
      </c>
      <c r="V989" s="306">
        <f t="shared" ca="1" si="438"/>
        <v>1.2257579838200194</v>
      </c>
      <c r="W989" s="304">
        <f t="shared" ca="1" si="439"/>
        <v>3.5572457257825105</v>
      </c>
      <c r="Y989" s="314" t="str">
        <f t="shared" ca="1" si="457"/>
        <v/>
      </c>
      <c r="Z989" s="315" t="str">
        <f t="shared" ca="1" si="458"/>
        <v/>
      </c>
      <c r="AA989" s="316" t="str">
        <f t="shared" ca="1" si="459"/>
        <v/>
      </c>
      <c r="AC989" s="310" t="e">
        <f t="shared" ca="1" si="460"/>
        <v>#N/A</v>
      </c>
      <c r="AD989" s="323" t="e">
        <f t="shared" ca="1" si="461"/>
        <v>#N/A</v>
      </c>
      <c r="AE989" s="324" t="e">
        <f t="shared" ca="1" si="440"/>
        <v>#N/A</v>
      </c>
      <c r="AG989" s="306">
        <f t="shared" ca="1" si="462"/>
        <v>1.4545427237481992</v>
      </c>
      <c r="AH989" s="304">
        <f t="shared" ca="1" si="463"/>
        <v>-8.3307356218070296</v>
      </c>
    </row>
    <row r="990" spans="1:34" x14ac:dyDescent="0.3">
      <c r="A990" s="347">
        <f t="shared" ca="1" si="441"/>
        <v>1E-4</v>
      </c>
      <c r="B990" s="304">
        <f t="shared" ca="1" si="442"/>
        <v>16.164499999999812</v>
      </c>
      <c r="D990" s="306">
        <f t="shared" ca="1" si="443"/>
        <v>-0.5910488199668239</v>
      </c>
      <c r="E990" s="307">
        <f t="shared" ca="1" si="444"/>
        <v>-1.5002069388092956</v>
      </c>
      <c r="F990" s="304">
        <f t="shared" ca="1" si="445"/>
        <v>1.6124390118189689</v>
      </c>
      <c r="G990" s="306">
        <f t="shared" ca="1" si="446"/>
        <v>3.7160797687771652</v>
      </c>
      <c r="H990" s="307">
        <f t="shared" ca="1" si="447"/>
        <v>-52.246840959840561</v>
      </c>
      <c r="I990" s="304">
        <f t="shared" ca="1" si="448"/>
        <v>52.378828157288787</v>
      </c>
      <c r="J990" s="306">
        <f t="shared" ca="1" si="449"/>
        <v>150.09587023194715</v>
      </c>
      <c r="K990" s="307">
        <f t="shared" ca="1" si="450"/>
        <v>-6.1909339553070941</v>
      </c>
      <c r="L990" s="304">
        <f t="shared" ca="1" si="435"/>
        <v>150.22349324897385</v>
      </c>
      <c r="M990" s="306">
        <f t="shared" ca="1" si="451"/>
        <v>-1.4997904570574452</v>
      </c>
      <c r="N990" s="304">
        <f t="shared" ca="1" si="452"/>
        <v>-85.931663343388337</v>
      </c>
      <c r="P990" s="310">
        <f t="shared" ca="1" si="453"/>
        <v>23</v>
      </c>
      <c r="Q990" s="304">
        <f t="shared" ca="1" si="454"/>
        <v>0</v>
      </c>
      <c r="R990" s="306">
        <f t="shared" ca="1" si="455"/>
        <v>0</v>
      </c>
      <c r="S990" s="307">
        <f t="shared" ca="1" si="456"/>
        <v>0.4270000000000001</v>
      </c>
      <c r="T990" s="304">
        <f t="shared" ca="1" si="436"/>
        <v>4.1888700000000014</v>
      </c>
      <c r="U990" s="311">
        <f t="shared" ca="1" si="437"/>
        <v>0</v>
      </c>
      <c r="V990" s="306">
        <f t="shared" ca="1" si="438"/>
        <v>1.2257586242391532</v>
      </c>
      <c r="W990" s="304">
        <f t="shared" ca="1" si="439"/>
        <v>3.5572673404602173</v>
      </c>
      <c r="Y990" s="314" t="str">
        <f t="shared" ca="1" si="457"/>
        <v/>
      </c>
      <c r="Z990" s="315" t="str">
        <f t="shared" ca="1" si="458"/>
        <v/>
      </c>
      <c r="AA990" s="316" t="str">
        <f t="shared" ca="1" si="459"/>
        <v/>
      </c>
      <c r="AC990" s="310" t="e">
        <f t="shared" ca="1" si="460"/>
        <v>#N/A</v>
      </c>
      <c r="AD990" s="323" t="e">
        <f t="shared" ca="1" si="461"/>
        <v>#N/A</v>
      </c>
      <c r="AE990" s="324" t="e">
        <f t="shared" ca="1" si="440"/>
        <v>#N/A</v>
      </c>
      <c r="AG990" s="306">
        <f t="shared" ca="1" si="462"/>
        <v>1.4544930273528074</v>
      </c>
      <c r="AH990" s="304">
        <f t="shared" ca="1" si="463"/>
        <v>-8.3307862430503743</v>
      </c>
    </row>
    <row r="991" spans="1:34" x14ac:dyDescent="0.3">
      <c r="A991" s="347">
        <f t="shared" ca="1" si="441"/>
        <v>1E-4</v>
      </c>
      <c r="B991" s="304">
        <f t="shared" ca="1" si="442"/>
        <v>16.164599999999812</v>
      </c>
      <c r="D991" s="306">
        <f t="shared" ca="1" si="443"/>
        <v>-0.59104136942999574</v>
      </c>
      <c r="E991" s="307">
        <f t="shared" ca="1" si="444"/>
        <v>-1.5001556611480016</v>
      </c>
      <c r="F991" s="304">
        <f t="shared" ca="1" si="445"/>
        <v>1.6123885722902165</v>
      </c>
      <c r="G991" s="306">
        <f t="shared" ca="1" si="446"/>
        <v>3.7160206646402223</v>
      </c>
      <c r="H991" s="307">
        <f t="shared" ca="1" si="447"/>
        <v>-52.246990975406675</v>
      </c>
      <c r="I991" s="304">
        <f t="shared" ca="1" si="448"/>
        <v>52.378973601668257</v>
      </c>
      <c r="J991" s="306">
        <f t="shared" ca="1" si="449"/>
        <v>150.09587023194715</v>
      </c>
      <c r="K991" s="307">
        <f t="shared" ca="1" si="450"/>
        <v>-6.1961586469038563</v>
      </c>
      <c r="L991" s="304">
        <f t="shared" ca="1" si="435"/>
        <v>150.22370865699966</v>
      </c>
      <c r="M991" s="306">
        <f t="shared" ca="1" si="451"/>
        <v>-1.4997917858013134</v>
      </c>
      <c r="N991" s="304">
        <f t="shared" ca="1" si="452"/>
        <v>-85.931739474804047</v>
      </c>
      <c r="P991" s="310">
        <f t="shared" ca="1" si="453"/>
        <v>23</v>
      </c>
      <c r="Q991" s="304">
        <f t="shared" ca="1" si="454"/>
        <v>0</v>
      </c>
      <c r="R991" s="306">
        <f t="shared" ca="1" si="455"/>
        <v>0</v>
      </c>
      <c r="S991" s="307">
        <f t="shared" ca="1" si="456"/>
        <v>0.4270000000000001</v>
      </c>
      <c r="T991" s="304">
        <f t="shared" ca="1" si="436"/>
        <v>4.1888700000000014</v>
      </c>
      <c r="U991" s="311">
        <f t="shared" ca="1" si="437"/>
        <v>0</v>
      </c>
      <c r="V991" s="306">
        <f t="shared" ca="1" si="438"/>
        <v>1.2257592646604605</v>
      </c>
      <c r="W991" s="304">
        <f t="shared" ca="1" si="439"/>
        <v>3.5572889545447337</v>
      </c>
      <c r="Y991" s="314" t="str">
        <f t="shared" ca="1" si="457"/>
        <v/>
      </c>
      <c r="Z991" s="315" t="str">
        <f t="shared" ca="1" si="458"/>
        <v/>
      </c>
      <c r="AA991" s="316" t="str">
        <f t="shared" ca="1" si="459"/>
        <v/>
      </c>
      <c r="AC991" s="310" t="e">
        <f t="shared" ca="1" si="460"/>
        <v>#N/A</v>
      </c>
      <c r="AD991" s="323" t="e">
        <f t="shared" ca="1" si="461"/>
        <v>#N/A</v>
      </c>
      <c r="AE991" s="324" t="e">
        <f t="shared" ca="1" si="440"/>
        <v>#N/A</v>
      </c>
      <c r="AG991" s="306">
        <f t="shared" ca="1" si="462"/>
        <v>1.4544433323095234</v>
      </c>
      <c r="AH991" s="304">
        <f t="shared" ca="1" si="463"/>
        <v>-8.3308368629044889</v>
      </c>
    </row>
    <row r="992" spans="1:34" x14ac:dyDescent="0.3">
      <c r="A992" s="347">
        <f t="shared" ca="1" si="441"/>
        <v>1E-4</v>
      </c>
      <c r="B992" s="304">
        <f t="shared" ca="1" si="442"/>
        <v>16.164699999999812</v>
      </c>
      <c r="D992" s="306">
        <f t="shared" ca="1" si="443"/>
        <v>-0.59103391889632673</v>
      </c>
      <c r="E992" s="307">
        <f t="shared" ca="1" si="444"/>
        <v>-1.5001043848943922</v>
      </c>
      <c r="F992" s="304">
        <f t="shared" ca="1" si="445"/>
        <v>1.6123381341596226</v>
      </c>
      <c r="G992" s="306">
        <f t="shared" ca="1" si="446"/>
        <v>3.7159615612483328</v>
      </c>
      <c r="H992" s="307">
        <f t="shared" ca="1" si="447"/>
        <v>-52.247140985845164</v>
      </c>
      <c r="I992" s="304">
        <f t="shared" ca="1" si="448"/>
        <v>52.379119041078354</v>
      </c>
      <c r="J992" s="306">
        <f t="shared" ca="1" si="449"/>
        <v>150.09587023194715</v>
      </c>
      <c r="K992" s="307">
        <f t="shared" ca="1" si="450"/>
        <v>-6.2013833535019192</v>
      </c>
      <c r="L992" s="304">
        <f t="shared" ca="1" si="435"/>
        <v>150.22392424704731</v>
      </c>
      <c r="M992" s="306">
        <f t="shared" ca="1" si="451"/>
        <v>-1.4997931145166692</v>
      </c>
      <c r="N992" s="304">
        <f t="shared" ca="1" si="452"/>
        <v>-85.931815604586106</v>
      </c>
      <c r="P992" s="310">
        <f t="shared" ca="1" si="453"/>
        <v>23</v>
      </c>
      <c r="Q992" s="304">
        <f t="shared" ca="1" si="454"/>
        <v>0</v>
      </c>
      <c r="R992" s="306">
        <f t="shared" ca="1" si="455"/>
        <v>0</v>
      </c>
      <c r="S992" s="307">
        <f t="shared" ca="1" si="456"/>
        <v>0.4270000000000001</v>
      </c>
      <c r="T992" s="304">
        <f t="shared" ca="1" si="436"/>
        <v>4.1888700000000014</v>
      </c>
      <c r="U992" s="311">
        <f t="shared" ca="1" si="437"/>
        <v>0</v>
      </c>
      <c r="V992" s="306">
        <f t="shared" ca="1" si="438"/>
        <v>1.2257599050839409</v>
      </c>
      <c r="W992" s="304">
        <f t="shared" ca="1" si="439"/>
        <v>3.5573105680360695</v>
      </c>
      <c r="Y992" s="314" t="str">
        <f t="shared" ca="1" si="457"/>
        <v/>
      </c>
      <c r="Z992" s="315" t="str">
        <f t="shared" ca="1" si="458"/>
        <v/>
      </c>
      <c r="AA992" s="316" t="str">
        <f t="shared" ca="1" si="459"/>
        <v/>
      </c>
      <c r="AC992" s="310" t="e">
        <f t="shared" ca="1" si="460"/>
        <v>#N/A</v>
      </c>
      <c r="AD992" s="323" t="e">
        <f t="shared" ca="1" si="461"/>
        <v>#N/A</v>
      </c>
      <c r="AE992" s="324" t="e">
        <f t="shared" ca="1" si="440"/>
        <v>#N/A</v>
      </c>
      <c r="AG992" s="306">
        <f t="shared" ca="1" si="462"/>
        <v>1.4543936386183205</v>
      </c>
      <c r="AH992" s="304">
        <f t="shared" ca="1" si="463"/>
        <v>-8.3308874813693983</v>
      </c>
    </row>
    <row r="993" spans="1:34" x14ac:dyDescent="0.3">
      <c r="A993" s="347">
        <f t="shared" ca="1" si="441"/>
        <v>1E-4</v>
      </c>
      <c r="B993" s="304">
        <f t="shared" ca="1" si="442"/>
        <v>16.164799999999811</v>
      </c>
      <c r="D993" s="306">
        <f t="shared" ca="1" si="443"/>
        <v>-0.59102646836581918</v>
      </c>
      <c r="E993" s="307">
        <f t="shared" ca="1" si="444"/>
        <v>-1.5000531100484462</v>
      </c>
      <c r="F993" s="304">
        <f t="shared" ca="1" si="445"/>
        <v>1.6122876974271647</v>
      </c>
      <c r="G993" s="306">
        <f t="shared" ca="1" si="446"/>
        <v>3.7159024586014961</v>
      </c>
      <c r="H993" s="307">
        <f t="shared" ca="1" si="447"/>
        <v>-52.24729099115617</v>
      </c>
      <c r="I993" s="304">
        <f t="shared" ca="1" si="448"/>
        <v>52.379264475519214</v>
      </c>
      <c r="J993" s="306">
        <f t="shared" ca="1" si="449"/>
        <v>150.09587023194715</v>
      </c>
      <c r="K993" s="307">
        <f t="shared" ca="1" si="450"/>
        <v>-6.2066080751007693</v>
      </c>
      <c r="L993" s="304">
        <f t="shared" ca="1" si="435"/>
        <v>150.2241400191175</v>
      </c>
      <c r="M993" s="306">
        <f t="shared" ca="1" si="451"/>
        <v>-1.4997944432035131</v>
      </c>
      <c r="N993" s="304">
        <f t="shared" ca="1" si="452"/>
        <v>-85.931891732734556</v>
      </c>
      <c r="P993" s="310">
        <f t="shared" ca="1" si="453"/>
        <v>23</v>
      </c>
      <c r="Q993" s="304">
        <f t="shared" ca="1" si="454"/>
        <v>0</v>
      </c>
      <c r="R993" s="306">
        <f t="shared" ca="1" si="455"/>
        <v>0</v>
      </c>
      <c r="S993" s="307">
        <f t="shared" ca="1" si="456"/>
        <v>0.4270000000000001</v>
      </c>
      <c r="T993" s="304">
        <f t="shared" ca="1" si="436"/>
        <v>4.1888700000000014</v>
      </c>
      <c r="U993" s="311">
        <f t="shared" ca="1" si="437"/>
        <v>0</v>
      </c>
      <c r="V993" s="306">
        <f t="shared" ca="1" si="438"/>
        <v>1.2257605455095948</v>
      </c>
      <c r="W993" s="304">
        <f t="shared" ca="1" si="439"/>
        <v>3.557332180934238</v>
      </c>
      <c r="Y993" s="314" t="str">
        <f t="shared" ca="1" si="457"/>
        <v/>
      </c>
      <c r="Z993" s="315" t="str">
        <f t="shared" ca="1" si="458"/>
        <v/>
      </c>
      <c r="AA993" s="316" t="str">
        <f t="shared" ca="1" si="459"/>
        <v/>
      </c>
      <c r="AC993" s="310" t="e">
        <f t="shared" ca="1" si="460"/>
        <v>#N/A</v>
      </c>
      <c r="AD993" s="323" t="e">
        <f t="shared" ca="1" si="461"/>
        <v>#N/A</v>
      </c>
      <c r="AE993" s="324" t="e">
        <f t="shared" ca="1" si="440"/>
        <v>#N/A</v>
      </c>
      <c r="AG993" s="306">
        <f t="shared" ca="1" si="462"/>
        <v>1.4543439462791827</v>
      </c>
      <c r="AH993" s="304">
        <f t="shared" ca="1" si="463"/>
        <v>-8.3309380984451256</v>
      </c>
    </row>
    <row r="994" spans="1:34" x14ac:dyDescent="0.3">
      <c r="A994" s="347">
        <f t="shared" ca="1" si="441"/>
        <v>1E-4</v>
      </c>
      <c r="B994" s="304">
        <f t="shared" ca="1" si="442"/>
        <v>16.164899999999811</v>
      </c>
      <c r="D994" s="306">
        <f t="shared" ca="1" si="443"/>
        <v>-0.59101901783847999</v>
      </c>
      <c r="E994" s="307">
        <f t="shared" ca="1" si="444"/>
        <v>-1.500001836610128</v>
      </c>
      <c r="F994" s="304">
        <f t="shared" ca="1" si="445"/>
        <v>1.6122372620928096</v>
      </c>
      <c r="G994" s="306">
        <f t="shared" ca="1" si="446"/>
        <v>3.7158433566997124</v>
      </c>
      <c r="H994" s="307">
        <f t="shared" ca="1" si="447"/>
        <v>-52.247440991339829</v>
      </c>
      <c r="I994" s="304">
        <f t="shared" ca="1" si="448"/>
        <v>52.379409904990979</v>
      </c>
      <c r="J994" s="306">
        <f t="shared" ca="1" si="449"/>
        <v>150.09587023194715</v>
      </c>
      <c r="K994" s="307">
        <f t="shared" ca="1" si="450"/>
        <v>-6.2118328116998942</v>
      </c>
      <c r="L994" s="304">
        <f t="shared" ca="1" si="435"/>
        <v>150.22435597321103</v>
      </c>
      <c r="M994" s="306">
        <f t="shared" ca="1" si="451"/>
        <v>-1.4997957718618462</v>
      </c>
      <c r="N994" s="304">
        <f t="shared" ca="1" si="452"/>
        <v>-85.931967859249454</v>
      </c>
      <c r="P994" s="310">
        <f t="shared" ca="1" si="453"/>
        <v>23</v>
      </c>
      <c r="Q994" s="304">
        <f t="shared" ca="1" si="454"/>
        <v>0</v>
      </c>
      <c r="R994" s="306">
        <f t="shared" ca="1" si="455"/>
        <v>0</v>
      </c>
      <c r="S994" s="307">
        <f t="shared" ca="1" si="456"/>
        <v>0.4270000000000001</v>
      </c>
      <c r="T994" s="304">
        <f t="shared" ca="1" si="436"/>
        <v>4.1888700000000014</v>
      </c>
      <c r="U994" s="311">
        <f t="shared" ca="1" si="437"/>
        <v>0</v>
      </c>
      <c r="V994" s="306">
        <f t="shared" ca="1" si="438"/>
        <v>1.2257611859374224</v>
      </c>
      <c r="W994" s="304">
        <f t="shared" ca="1" si="439"/>
        <v>3.5573537932392534</v>
      </c>
      <c r="Y994" s="314" t="str">
        <f t="shared" ca="1" si="457"/>
        <v/>
      </c>
      <c r="Z994" s="315" t="str">
        <f t="shared" ca="1" si="458"/>
        <v/>
      </c>
      <c r="AA994" s="316" t="str">
        <f t="shared" ca="1" si="459"/>
        <v/>
      </c>
      <c r="AC994" s="310" t="e">
        <f t="shared" ca="1" si="460"/>
        <v>#N/A</v>
      </c>
      <c r="AD994" s="323" t="e">
        <f t="shared" ca="1" si="461"/>
        <v>#N/A</v>
      </c>
      <c r="AE994" s="324" t="e">
        <f t="shared" ca="1" si="440"/>
        <v>#N/A</v>
      </c>
      <c r="AG994" s="306">
        <f t="shared" ca="1" si="462"/>
        <v>1.4542942552920746</v>
      </c>
      <c r="AH994" s="304">
        <f t="shared" ca="1" si="463"/>
        <v>-8.3309887141317027</v>
      </c>
    </row>
    <row r="995" spans="1:34" x14ac:dyDescent="0.3">
      <c r="A995" s="347">
        <f t="shared" ca="1" si="441"/>
        <v>1E-4</v>
      </c>
      <c r="B995" s="304">
        <f t="shared" ca="1" si="442"/>
        <v>16.164999999999811</v>
      </c>
      <c r="D995" s="306">
        <f t="shared" ca="1" si="443"/>
        <v>-0.59101156731431193</v>
      </c>
      <c r="E995" s="307">
        <f t="shared" ca="1" si="444"/>
        <v>-1.4999505645794073</v>
      </c>
      <c r="F995" s="304">
        <f t="shared" ca="1" si="445"/>
        <v>1.6121868281565266</v>
      </c>
      <c r="G995" s="306">
        <f t="shared" ca="1" si="446"/>
        <v>3.7157842555429812</v>
      </c>
      <c r="H995" s="307">
        <f t="shared" ca="1" si="447"/>
        <v>-52.24759098639629</v>
      </c>
      <c r="I995" s="304">
        <f t="shared" ca="1" si="448"/>
        <v>52.379555329493776</v>
      </c>
      <c r="J995" s="306">
        <f t="shared" ca="1" si="449"/>
        <v>150.09587023194715</v>
      </c>
      <c r="K995" s="307">
        <f t="shared" ca="1" si="450"/>
        <v>-6.2170575632987815</v>
      </c>
      <c r="L995" s="304">
        <f t="shared" ca="1" si="435"/>
        <v>150.22457210932868</v>
      </c>
      <c r="M995" s="306">
        <f t="shared" ca="1" si="451"/>
        <v>-1.499797100491669</v>
      </c>
      <c r="N995" s="304">
        <f t="shared" ca="1" si="452"/>
        <v>-85.932043984130843</v>
      </c>
      <c r="P995" s="310">
        <f t="shared" ca="1" si="453"/>
        <v>23</v>
      </c>
      <c r="Q995" s="304">
        <f t="shared" ca="1" si="454"/>
        <v>0</v>
      </c>
      <c r="R995" s="306">
        <f t="shared" ca="1" si="455"/>
        <v>0</v>
      </c>
      <c r="S995" s="307">
        <f t="shared" ca="1" si="456"/>
        <v>0.4270000000000001</v>
      </c>
      <c r="T995" s="304">
        <f t="shared" ca="1" si="436"/>
        <v>4.1888700000000014</v>
      </c>
      <c r="U995" s="311">
        <f t="shared" ca="1" si="437"/>
        <v>0</v>
      </c>
      <c r="V995" s="306">
        <f t="shared" ca="1" si="438"/>
        <v>1.2257618263674233</v>
      </c>
      <c r="W995" s="304">
        <f t="shared" ca="1" si="439"/>
        <v>3.557375404951125</v>
      </c>
      <c r="Y995" s="314" t="str">
        <f t="shared" ca="1" si="457"/>
        <v/>
      </c>
      <c r="Z995" s="315" t="str">
        <f t="shared" ca="1" si="458"/>
        <v/>
      </c>
      <c r="AA995" s="316" t="str">
        <f t="shared" ca="1" si="459"/>
        <v/>
      </c>
      <c r="AC995" s="310" t="e">
        <f t="shared" ca="1" si="460"/>
        <v>#N/A</v>
      </c>
      <c r="AD995" s="323" t="e">
        <f t="shared" ca="1" si="461"/>
        <v>#N/A</v>
      </c>
      <c r="AE995" s="324" t="e">
        <f t="shared" ca="1" si="440"/>
        <v>#N/A</v>
      </c>
      <c r="AG995" s="306">
        <f t="shared" ca="1" si="462"/>
        <v>1.4542445656569676</v>
      </c>
      <c r="AH995" s="304">
        <f t="shared" ca="1" si="463"/>
        <v>-8.3310393284291635</v>
      </c>
    </row>
    <row r="996" spans="1:34" x14ac:dyDescent="0.3">
      <c r="A996" s="347">
        <f t="shared" ca="1" si="441"/>
        <v>1E-4</v>
      </c>
      <c r="B996" s="304">
        <f t="shared" ca="1" si="442"/>
        <v>16.165099999999811</v>
      </c>
      <c r="D996" s="306">
        <f t="shared" ca="1" si="443"/>
        <v>-0.59100411679332288</v>
      </c>
      <c r="E996" s="307">
        <f t="shared" ca="1" si="444"/>
        <v>-1.4998992939562612</v>
      </c>
      <c r="F996" s="304">
        <f t="shared" ca="1" si="445"/>
        <v>1.6121363956182946</v>
      </c>
      <c r="G996" s="306">
        <f t="shared" ca="1" si="446"/>
        <v>3.715725155131302</v>
      </c>
      <c r="H996" s="307">
        <f t="shared" ca="1" si="447"/>
        <v>-52.247740976325687</v>
      </c>
      <c r="I996" s="304">
        <f t="shared" ca="1" si="448"/>
        <v>52.379700749027741</v>
      </c>
      <c r="J996" s="306">
        <f t="shared" ca="1" si="449"/>
        <v>150.09587023194715</v>
      </c>
      <c r="K996" s="307">
        <f t="shared" ca="1" si="450"/>
        <v>-6.2222823298969177</v>
      </c>
      <c r="L996" s="304">
        <f t="shared" ca="1" si="435"/>
        <v>150.22478842747114</v>
      </c>
      <c r="M996" s="306">
        <f t="shared" ca="1" si="451"/>
        <v>-1.4997984290929824</v>
      </c>
      <c r="N996" s="304">
        <f t="shared" ca="1" si="452"/>
        <v>-85.932120107378751</v>
      </c>
      <c r="P996" s="310">
        <f t="shared" ca="1" si="453"/>
        <v>23</v>
      </c>
      <c r="Q996" s="304">
        <f t="shared" ca="1" si="454"/>
        <v>0</v>
      </c>
      <c r="R996" s="306">
        <f t="shared" ca="1" si="455"/>
        <v>0</v>
      </c>
      <c r="S996" s="307">
        <f t="shared" ca="1" si="456"/>
        <v>0.4270000000000001</v>
      </c>
      <c r="T996" s="304">
        <f t="shared" ca="1" si="436"/>
        <v>4.1888700000000014</v>
      </c>
      <c r="U996" s="311">
        <f t="shared" ca="1" si="437"/>
        <v>0</v>
      </c>
      <c r="V996" s="306">
        <f t="shared" ca="1" si="438"/>
        <v>1.2257624667995972</v>
      </c>
      <c r="W996" s="304">
        <f t="shared" ca="1" si="439"/>
        <v>3.5573970160698631</v>
      </c>
      <c r="Y996" s="314" t="str">
        <f t="shared" ca="1" si="457"/>
        <v/>
      </c>
      <c r="Z996" s="315" t="str">
        <f t="shared" ca="1" si="458"/>
        <v/>
      </c>
      <c r="AA996" s="316" t="str">
        <f t="shared" ca="1" si="459"/>
        <v/>
      </c>
      <c r="AC996" s="310" t="e">
        <f t="shared" ca="1" si="460"/>
        <v>#N/A</v>
      </c>
      <c r="AD996" s="323" t="e">
        <f t="shared" ca="1" si="461"/>
        <v>#N/A</v>
      </c>
      <c r="AE996" s="324" t="e">
        <f t="shared" ca="1" si="440"/>
        <v>#N/A</v>
      </c>
      <c r="AG996" s="306">
        <f t="shared" ca="1" si="462"/>
        <v>1.4541948773738422</v>
      </c>
      <c r="AH996" s="304">
        <f t="shared" ca="1" si="463"/>
        <v>-8.3310899413375274</v>
      </c>
    </row>
    <row r="997" spans="1:34" x14ac:dyDescent="0.3">
      <c r="A997" s="347">
        <f t="shared" ca="1" si="441"/>
        <v>1E-4</v>
      </c>
      <c r="B997" s="304">
        <f t="shared" ca="1" si="442"/>
        <v>16.16519999999981</v>
      </c>
      <c r="D997" s="306">
        <f t="shared" ca="1" si="443"/>
        <v>-0.59099666627551695</v>
      </c>
      <c r="E997" s="307">
        <f t="shared" ca="1" si="444"/>
        <v>-1.4998480247406611</v>
      </c>
      <c r="F997" s="304">
        <f t="shared" ca="1" si="445"/>
        <v>1.6120859644780849</v>
      </c>
      <c r="G997" s="306">
        <f t="shared" ca="1" si="446"/>
        <v>3.7156660554646743</v>
      </c>
      <c r="H997" s="307">
        <f t="shared" ca="1" si="447"/>
        <v>-52.247890961128164</v>
      </c>
      <c r="I997" s="304">
        <f t="shared" ca="1" si="448"/>
        <v>52.379846163593015</v>
      </c>
      <c r="J997" s="306">
        <f t="shared" ca="1" si="449"/>
        <v>150.09587023194715</v>
      </c>
      <c r="K997" s="307">
        <f t="shared" ca="1" si="450"/>
        <v>-6.2275071114937903</v>
      </c>
      <c r="L997" s="304">
        <f t="shared" ca="1" si="435"/>
        <v>150.22500492763919</v>
      </c>
      <c r="M997" s="306">
        <f t="shared" ca="1" si="451"/>
        <v>-1.4997997576657873</v>
      </c>
      <c r="N997" s="304">
        <f t="shared" ca="1" si="452"/>
        <v>-85.932196228993249</v>
      </c>
      <c r="P997" s="310">
        <f t="shared" ca="1" si="453"/>
        <v>23</v>
      </c>
      <c r="Q997" s="304">
        <f t="shared" ca="1" si="454"/>
        <v>0</v>
      </c>
      <c r="R997" s="306">
        <f t="shared" ca="1" si="455"/>
        <v>0</v>
      </c>
      <c r="S997" s="307">
        <f t="shared" ca="1" si="456"/>
        <v>0.4270000000000001</v>
      </c>
      <c r="T997" s="304">
        <f t="shared" ca="1" si="436"/>
        <v>4.1888700000000014</v>
      </c>
      <c r="U997" s="311">
        <f t="shared" ca="1" si="437"/>
        <v>0</v>
      </c>
      <c r="V997" s="306">
        <f t="shared" ca="1" si="438"/>
        <v>1.2257631072339443</v>
      </c>
      <c r="W997" s="304">
        <f t="shared" ca="1" si="439"/>
        <v>3.5574186265954824</v>
      </c>
      <c r="Y997" s="314" t="str">
        <f t="shared" ca="1" si="457"/>
        <v/>
      </c>
      <c r="Z997" s="315" t="str">
        <f t="shared" ca="1" si="458"/>
        <v/>
      </c>
      <c r="AA997" s="316" t="str">
        <f t="shared" ca="1" si="459"/>
        <v/>
      </c>
      <c r="AC997" s="310" t="e">
        <f t="shared" ca="1" si="460"/>
        <v>#N/A</v>
      </c>
      <c r="AD997" s="323" t="e">
        <f t="shared" ca="1" si="461"/>
        <v>#N/A</v>
      </c>
      <c r="AE997" s="324" t="e">
        <f t="shared" ca="1" si="440"/>
        <v>#N/A</v>
      </c>
      <c r="AG997" s="306">
        <f t="shared" ca="1" si="462"/>
        <v>1.4541451904426737</v>
      </c>
      <c r="AH997" s="304">
        <f t="shared" ca="1" si="463"/>
        <v>-8.3311405528568212</v>
      </c>
    </row>
    <row r="998" spans="1:34" x14ac:dyDescent="0.3">
      <c r="A998" s="347">
        <f t="shared" ca="1" si="441"/>
        <v>1E-4</v>
      </c>
      <c r="B998" s="304">
        <f t="shared" ca="1" si="442"/>
        <v>16.16529999999981</v>
      </c>
      <c r="D998" s="306">
        <f t="shared" ca="1" si="443"/>
        <v>-0.59098921576089913</v>
      </c>
      <c r="E998" s="307">
        <f t="shared" ca="1" si="444"/>
        <v>-1.4997967569325805</v>
      </c>
      <c r="F998" s="304">
        <f t="shared" ca="1" si="445"/>
        <v>1.6120355347358719</v>
      </c>
      <c r="G998" s="306">
        <f t="shared" ca="1" si="446"/>
        <v>3.7156069565430982</v>
      </c>
      <c r="H998" s="307">
        <f t="shared" ca="1" si="447"/>
        <v>-52.248040940803854</v>
      </c>
      <c r="I998" s="304">
        <f t="shared" ca="1" si="448"/>
        <v>52.379991573189727</v>
      </c>
      <c r="J998" s="306">
        <f t="shared" ca="1" si="449"/>
        <v>150.09587023194715</v>
      </c>
      <c r="K998" s="307">
        <f t="shared" ca="1" si="450"/>
        <v>-6.232731908088887</v>
      </c>
      <c r="L998" s="304">
        <f t="shared" ca="1" si="435"/>
        <v>150.22522160983362</v>
      </c>
      <c r="M998" s="306">
        <f t="shared" ca="1" si="451"/>
        <v>-1.4998010862100846</v>
      </c>
      <c r="N998" s="304">
        <f t="shared" ca="1" si="452"/>
        <v>-85.932272348974379</v>
      </c>
      <c r="P998" s="310">
        <f t="shared" ca="1" si="453"/>
        <v>23</v>
      </c>
      <c r="Q998" s="304">
        <f t="shared" ca="1" si="454"/>
        <v>0</v>
      </c>
      <c r="R998" s="306">
        <f t="shared" ca="1" si="455"/>
        <v>0</v>
      </c>
      <c r="S998" s="307">
        <f t="shared" ca="1" si="456"/>
        <v>0.4270000000000001</v>
      </c>
      <c r="T998" s="304">
        <f t="shared" ca="1" si="436"/>
        <v>4.1888700000000014</v>
      </c>
      <c r="U998" s="311">
        <f t="shared" ca="1" si="437"/>
        <v>0</v>
      </c>
      <c r="V998" s="306">
        <f t="shared" ca="1" si="438"/>
        <v>1.2257637476704648</v>
      </c>
      <c r="W998" s="304">
        <f t="shared" ca="1" si="439"/>
        <v>3.5574402365279938</v>
      </c>
      <c r="Y998" s="314" t="str">
        <f t="shared" ca="1" si="457"/>
        <v/>
      </c>
      <c r="Z998" s="315" t="str">
        <f t="shared" ca="1" si="458"/>
        <v/>
      </c>
      <c r="AA998" s="316" t="str">
        <f t="shared" ca="1" si="459"/>
        <v/>
      </c>
      <c r="AC998" s="310" t="e">
        <f t="shared" ca="1" si="460"/>
        <v>#N/A</v>
      </c>
      <c r="AD998" s="323" t="e">
        <f t="shared" ca="1" si="461"/>
        <v>#N/A</v>
      </c>
      <c r="AE998" s="324" t="e">
        <f t="shared" ca="1" si="440"/>
        <v>#N/A</v>
      </c>
      <c r="AG998" s="306">
        <f t="shared" ca="1" si="462"/>
        <v>1.4540955048634316</v>
      </c>
      <c r="AH998" s="304">
        <f t="shared" ca="1" si="463"/>
        <v>-8.3311911629870767</v>
      </c>
    </row>
    <row r="999" spans="1:34" x14ac:dyDescent="0.3">
      <c r="A999" s="347">
        <f t="shared" ca="1" si="441"/>
        <v>1E-4</v>
      </c>
      <c r="B999" s="304">
        <f t="shared" ca="1" si="442"/>
        <v>16.16539999999981</v>
      </c>
      <c r="D999" s="306">
        <f t="shared" ca="1" si="443"/>
        <v>-0.59098176524947388</v>
      </c>
      <c r="E999" s="307">
        <f t="shared" ca="1" si="444"/>
        <v>-1.4997454905319856</v>
      </c>
      <c r="F999" s="304">
        <f t="shared" ca="1" si="445"/>
        <v>1.6119851063916224</v>
      </c>
      <c r="G999" s="306">
        <f t="shared" ca="1" si="446"/>
        <v>3.7155478583665733</v>
      </c>
      <c r="H999" s="307">
        <f t="shared" ca="1" si="447"/>
        <v>-52.248190915352907</v>
      </c>
      <c r="I999" s="304">
        <f t="shared" ca="1" si="448"/>
        <v>52.380136977818019</v>
      </c>
      <c r="J999" s="306">
        <f t="shared" ca="1" si="449"/>
        <v>150.09587023194715</v>
      </c>
      <c r="K999" s="307">
        <f t="shared" ca="1" si="450"/>
        <v>-6.2379567196816952</v>
      </c>
      <c r="L999" s="304">
        <f t="shared" ca="1" si="435"/>
        <v>150.22543847405518</v>
      </c>
      <c r="M999" s="306">
        <f t="shared" ca="1" si="451"/>
        <v>-1.4998024147258751</v>
      </c>
      <c r="N999" s="304">
        <f t="shared" ca="1" si="452"/>
        <v>-85.932348467322186</v>
      </c>
      <c r="P999" s="310">
        <f t="shared" ca="1" si="453"/>
        <v>23</v>
      </c>
      <c r="Q999" s="304">
        <f t="shared" ca="1" si="454"/>
        <v>0</v>
      </c>
      <c r="R999" s="306">
        <f t="shared" ca="1" si="455"/>
        <v>0</v>
      </c>
      <c r="S999" s="307">
        <f t="shared" ca="1" si="456"/>
        <v>0.4270000000000001</v>
      </c>
      <c r="T999" s="304">
        <f t="shared" ca="1" si="436"/>
        <v>4.1888700000000014</v>
      </c>
      <c r="U999" s="311">
        <f t="shared" ca="1" si="437"/>
        <v>0</v>
      </c>
      <c r="V999" s="306">
        <f t="shared" ca="1" si="438"/>
        <v>1.225764388109158</v>
      </c>
      <c r="W999" s="304">
        <f t="shared" ca="1" si="439"/>
        <v>3.5574618458674072</v>
      </c>
      <c r="Y999" s="314" t="str">
        <f t="shared" ca="1" si="457"/>
        <v/>
      </c>
      <c r="Z999" s="315" t="str">
        <f t="shared" ca="1" si="458"/>
        <v/>
      </c>
      <c r="AA999" s="316" t="str">
        <f t="shared" ca="1" si="459"/>
        <v/>
      </c>
      <c r="AC999" s="310" t="e">
        <f t="shared" ca="1" si="460"/>
        <v>#N/A</v>
      </c>
      <c r="AD999" s="323" t="e">
        <f t="shared" ca="1" si="461"/>
        <v>#N/A</v>
      </c>
      <c r="AE999" s="324" t="e">
        <f t="shared" ca="1" si="440"/>
        <v>#N/A</v>
      </c>
      <c r="AG999" s="306">
        <f t="shared" ca="1" si="462"/>
        <v>1.4540458206360896</v>
      </c>
      <c r="AH999" s="304">
        <f t="shared" ca="1" si="463"/>
        <v>-8.3312417717283207</v>
      </c>
    </row>
    <row r="1000" spans="1:34" x14ac:dyDescent="0.3">
      <c r="A1000" s="347">
        <f t="shared" ca="1" si="441"/>
        <v>1E-4</v>
      </c>
      <c r="B1000" s="304">
        <f t="shared" ca="1" si="442"/>
        <v>16.16549999999981</v>
      </c>
      <c r="D1000" s="306">
        <f t="shared" ca="1" si="443"/>
        <v>-0.59097431474124518</v>
      </c>
      <c r="E1000" s="307">
        <f t="shared" ca="1" si="444"/>
        <v>-1.4996942255388586</v>
      </c>
      <c r="F1000" s="304">
        <f t="shared" ca="1" si="445"/>
        <v>1.6119346794453182</v>
      </c>
      <c r="G1000" s="306">
        <f t="shared" ca="1" si="446"/>
        <v>3.7154887609350991</v>
      </c>
      <c r="H1000" s="307">
        <f t="shared" ca="1" si="447"/>
        <v>-52.248340884775459</v>
      </c>
      <c r="I1000" s="304">
        <f t="shared" ca="1" si="448"/>
        <v>52.380282377478011</v>
      </c>
      <c r="J1000" s="306">
        <f t="shared" ca="1" si="449"/>
        <v>150.09587023194715</v>
      </c>
      <c r="K1000" s="307">
        <f t="shared" ca="1" si="450"/>
        <v>-6.2431815462717015</v>
      </c>
      <c r="L1000" s="304">
        <f t="shared" ca="1" si="435"/>
        <v>150.2256555203046</v>
      </c>
      <c r="M1000" s="306">
        <f t="shared" ca="1" si="451"/>
        <v>-1.4998037432131592</v>
      </c>
      <c r="N1000" s="304">
        <f t="shared" ca="1" si="452"/>
        <v>-85.93242458403671</v>
      </c>
      <c r="P1000" s="310">
        <f t="shared" ca="1" si="453"/>
        <v>23</v>
      </c>
      <c r="Q1000" s="304">
        <f t="shared" ca="1" si="454"/>
        <v>0</v>
      </c>
      <c r="R1000" s="306">
        <f t="shared" ca="1" si="455"/>
        <v>0</v>
      </c>
      <c r="S1000" s="307">
        <f t="shared" ca="1" si="456"/>
        <v>0.4270000000000001</v>
      </c>
      <c r="T1000" s="304">
        <f t="shared" ca="1" si="436"/>
        <v>4.1888700000000014</v>
      </c>
      <c r="U1000" s="311">
        <f t="shared" ca="1" si="437"/>
        <v>0</v>
      </c>
      <c r="V1000" s="306">
        <f t="shared" ca="1" si="438"/>
        <v>1.2257650285500248</v>
      </c>
      <c r="W1000" s="304">
        <f t="shared" ca="1" si="439"/>
        <v>3.5574834546137359</v>
      </c>
      <c r="Y1000" s="314" t="str">
        <f t="shared" ca="1" si="457"/>
        <v/>
      </c>
      <c r="Z1000" s="315" t="str">
        <f t="shared" ca="1" si="458"/>
        <v/>
      </c>
      <c r="AA1000" s="316" t="str">
        <f t="shared" ca="1" si="459"/>
        <v/>
      </c>
      <c r="AC1000" s="310" t="e">
        <f t="shared" ca="1" si="460"/>
        <v>#N/A</v>
      </c>
      <c r="AD1000" s="323" t="e">
        <f t="shared" ca="1" si="461"/>
        <v>#N/A</v>
      </c>
      <c r="AE1000" s="324" t="e">
        <f t="shared" ca="1" si="440"/>
        <v>#N/A</v>
      </c>
      <c r="AG1000" s="306">
        <f t="shared" ca="1" si="462"/>
        <v>1.4539961377606296</v>
      </c>
      <c r="AH1000" s="304">
        <f t="shared" ca="1" si="463"/>
        <v>-8.3312923790805762</v>
      </c>
    </row>
    <row r="1001" spans="1:34" x14ac:dyDescent="0.3">
      <c r="A1001" s="347">
        <f t="shared" ca="1" si="441"/>
        <v>1E-4</v>
      </c>
      <c r="B1001" s="304">
        <f t="shared" ca="1" si="442"/>
        <v>16.165599999999809</v>
      </c>
      <c r="D1001" s="306">
        <f t="shared" ca="1" si="443"/>
        <v>-0.59096686423622191</v>
      </c>
      <c r="E1001" s="307">
        <f t="shared" ca="1" si="444"/>
        <v>-1.4996429619531622</v>
      </c>
      <c r="F1001" s="304">
        <f t="shared" ca="1" si="445"/>
        <v>1.6118842538969249</v>
      </c>
      <c r="G1001" s="306">
        <f t="shared" ca="1" si="446"/>
        <v>3.7154296642486755</v>
      </c>
      <c r="H1001" s="307">
        <f t="shared" ca="1" si="447"/>
        <v>-52.248490849071658</v>
      </c>
      <c r="I1001" s="304">
        <f t="shared" ca="1" si="448"/>
        <v>52.380427772169867</v>
      </c>
      <c r="J1001" s="306">
        <f t="shared" ca="1" si="449"/>
        <v>150.09587023194715</v>
      </c>
      <c r="K1001" s="307">
        <f t="shared" ca="1" si="450"/>
        <v>-6.2484063878583935</v>
      </c>
      <c r="L1001" s="304">
        <f t="shared" ca="1" si="435"/>
        <v>150.22587274858265</v>
      </c>
      <c r="M1001" s="306">
        <f t="shared" ca="1" si="451"/>
        <v>-1.4998050716719382</v>
      </c>
      <c r="N1001" s="304">
        <f t="shared" ca="1" si="452"/>
        <v>-85.932500699118009</v>
      </c>
      <c r="P1001" s="310">
        <f t="shared" ca="1" si="453"/>
        <v>23</v>
      </c>
      <c r="Q1001" s="304">
        <f t="shared" ca="1" si="454"/>
        <v>0</v>
      </c>
      <c r="R1001" s="306">
        <f t="shared" ca="1" si="455"/>
        <v>0</v>
      </c>
      <c r="S1001" s="307">
        <f t="shared" ca="1" si="456"/>
        <v>0.4270000000000001</v>
      </c>
      <c r="T1001" s="304">
        <f t="shared" ca="1" si="436"/>
        <v>4.1888700000000014</v>
      </c>
      <c r="U1001" s="311">
        <f t="shared" ca="1" si="437"/>
        <v>0</v>
      </c>
      <c r="V1001" s="306">
        <f t="shared" ca="1" si="438"/>
        <v>1.2257656689930641</v>
      </c>
      <c r="W1001" s="304">
        <f t="shared" ca="1" si="439"/>
        <v>3.5575050627669933</v>
      </c>
      <c r="Y1001" s="314" t="str">
        <f t="shared" ca="1" si="457"/>
        <v/>
      </c>
      <c r="Z1001" s="315" t="str">
        <f t="shared" ca="1" si="458"/>
        <v/>
      </c>
      <c r="AA1001" s="316" t="str">
        <f t="shared" ca="1" si="459"/>
        <v/>
      </c>
      <c r="AC1001" s="310" t="e">
        <f t="shared" ca="1" si="460"/>
        <v>#N/A</v>
      </c>
      <c r="AD1001" s="323" t="e">
        <f t="shared" ca="1" si="461"/>
        <v>#N/A</v>
      </c>
      <c r="AE1001" s="324" t="e">
        <f t="shared" ca="1" si="440"/>
        <v>#N/A</v>
      </c>
      <c r="AG1001" s="306">
        <f t="shared" ca="1" si="462"/>
        <v>1.4539464562370181</v>
      </c>
      <c r="AH1001" s="304">
        <f t="shared" ca="1" si="463"/>
        <v>-8.3313429850438769</v>
      </c>
    </row>
    <row r="1002" spans="1:34" x14ac:dyDescent="0.3">
      <c r="A1002" s="347">
        <f t="shared" ca="1" si="441"/>
        <v>1E-4</v>
      </c>
      <c r="B1002" s="304">
        <f t="shared" ca="1" si="442"/>
        <v>16.165699999999809</v>
      </c>
      <c r="D1002" s="306">
        <f t="shared" ca="1" si="443"/>
        <v>-0.5909594137344063</v>
      </c>
      <c r="E1002" s="307">
        <f t="shared" ca="1" si="444"/>
        <v>-1.4995916997748697</v>
      </c>
      <c r="F1002" s="304">
        <f t="shared" ca="1" si="445"/>
        <v>1.6118338297464152</v>
      </c>
      <c r="G1002" s="306">
        <f t="shared" ca="1" si="446"/>
        <v>3.7153705683073022</v>
      </c>
      <c r="H1002" s="307">
        <f t="shared" ca="1" si="447"/>
        <v>-52.248640808241632</v>
      </c>
      <c r="I1002" s="304">
        <f t="shared" ca="1" si="448"/>
        <v>52.380573161893686</v>
      </c>
      <c r="J1002" s="306">
        <f t="shared" ca="1" si="449"/>
        <v>150.09587023194715</v>
      </c>
      <c r="K1002" s="307">
        <f t="shared" ca="1" si="450"/>
        <v>-6.2536312444412596</v>
      </c>
      <c r="L1002" s="304">
        <f t="shared" ca="1" si="435"/>
        <v>150.22609015889009</v>
      </c>
      <c r="M1002" s="306">
        <f t="shared" ca="1" si="451"/>
        <v>-1.4998064001022129</v>
      </c>
      <c r="N1002" s="304">
        <f t="shared" ca="1" si="452"/>
        <v>-85.932576812566126</v>
      </c>
      <c r="P1002" s="310">
        <f t="shared" ca="1" si="453"/>
        <v>23</v>
      </c>
      <c r="Q1002" s="304">
        <f t="shared" ca="1" si="454"/>
        <v>0</v>
      </c>
      <c r="R1002" s="306">
        <f t="shared" ca="1" si="455"/>
        <v>0</v>
      </c>
      <c r="S1002" s="307">
        <f t="shared" ca="1" si="456"/>
        <v>0.4270000000000001</v>
      </c>
      <c r="T1002" s="304">
        <f t="shared" ca="1" si="436"/>
        <v>4.1888700000000014</v>
      </c>
      <c r="U1002" s="311">
        <f t="shared" ca="1" si="437"/>
        <v>0</v>
      </c>
      <c r="V1002" s="306">
        <f t="shared" ca="1" si="438"/>
        <v>1.2257663094382767</v>
      </c>
      <c r="W1002" s="304">
        <f t="shared" ca="1" si="439"/>
        <v>3.5575266703271868</v>
      </c>
      <c r="Y1002" s="314" t="str">
        <f t="shared" ca="1" si="457"/>
        <v/>
      </c>
      <c r="Z1002" s="315" t="str">
        <f t="shared" ca="1" si="458"/>
        <v/>
      </c>
      <c r="AA1002" s="316" t="str">
        <f t="shared" ca="1" si="459"/>
        <v/>
      </c>
      <c r="AC1002" s="310" t="e">
        <f t="shared" ca="1" si="460"/>
        <v>#N/A</v>
      </c>
      <c r="AD1002" s="323" t="e">
        <f t="shared" ca="1" si="461"/>
        <v>#N/A</v>
      </c>
      <c r="AE1002" s="324" t="e">
        <f t="shared" ca="1" si="440"/>
        <v>#N/A</v>
      </c>
      <c r="AG1002" s="306">
        <f t="shared" ca="1" si="462"/>
        <v>1.4538967760652284</v>
      </c>
      <c r="AH1002" s="304">
        <f t="shared" ca="1" si="463"/>
        <v>-8.3313935896182496</v>
      </c>
    </row>
    <row r="1003" spans="1:34" x14ac:dyDescent="0.3">
      <c r="A1003" s="347">
        <f t="shared" ca="1" si="441"/>
        <v>1E-4</v>
      </c>
      <c r="B1003" s="304">
        <f t="shared" ca="1" si="442"/>
        <v>16.165799999999809</v>
      </c>
      <c r="D1003" s="306">
        <f t="shared" ca="1" si="443"/>
        <v>-0.59095196323580246</v>
      </c>
      <c r="E1003" s="307">
        <f t="shared" ca="1" si="444"/>
        <v>-1.4995404390039617</v>
      </c>
      <c r="F1003" s="304">
        <f t="shared" ca="1" si="445"/>
        <v>1.6117834069937695</v>
      </c>
      <c r="G1003" s="306">
        <f t="shared" ca="1" si="446"/>
        <v>3.7153114731109786</v>
      </c>
      <c r="H1003" s="307">
        <f t="shared" ca="1" si="447"/>
        <v>-52.24879076228553</v>
      </c>
      <c r="I1003" s="304">
        <f t="shared" ca="1" si="448"/>
        <v>52.380718546649625</v>
      </c>
      <c r="J1003" s="306">
        <f t="shared" ca="1" si="449"/>
        <v>150.09587023194715</v>
      </c>
      <c r="K1003" s="307">
        <f t="shared" ca="1" si="450"/>
        <v>-6.2588561160197864</v>
      </c>
      <c r="L1003" s="304">
        <f t="shared" ca="1" si="435"/>
        <v>150.22630775122764</v>
      </c>
      <c r="M1003" s="306">
        <f t="shared" ca="1" si="451"/>
        <v>-1.4998077285039837</v>
      </c>
      <c r="N1003" s="304">
        <f t="shared" ca="1" si="452"/>
        <v>-85.932652924381088</v>
      </c>
      <c r="P1003" s="310">
        <f t="shared" ca="1" si="453"/>
        <v>23</v>
      </c>
      <c r="Q1003" s="304">
        <f t="shared" ca="1" si="454"/>
        <v>0</v>
      </c>
      <c r="R1003" s="306">
        <f t="shared" ca="1" si="455"/>
        <v>0</v>
      </c>
      <c r="S1003" s="307">
        <f t="shared" ca="1" si="456"/>
        <v>0.4270000000000001</v>
      </c>
      <c r="T1003" s="304">
        <f t="shared" ca="1" si="436"/>
        <v>4.1888700000000014</v>
      </c>
      <c r="U1003" s="311">
        <f t="shared" ca="1" si="437"/>
        <v>0</v>
      </c>
      <c r="V1003" s="306">
        <f ca="1">Rho_moyen*(20000-Alt_rampe-pos_z)/(20000+Alt_rampe+pos_z)</f>
        <v>1.2257669498856616</v>
      </c>
      <c r="W1003" s="304">
        <f t="shared" ca="1" si="439"/>
        <v>3.5575482772943294</v>
      </c>
      <c r="Y1003" s="314" t="str">
        <f t="shared" ca="1" si="457"/>
        <v/>
      </c>
      <c r="Z1003" s="315" t="str">
        <f t="shared" ca="1" si="458"/>
        <v/>
      </c>
      <c r="AA1003" s="316" t="str">
        <f t="shared" ca="1" si="459"/>
        <v/>
      </c>
      <c r="AC1003" s="310" t="e">
        <f t="shared" ca="1" si="460"/>
        <v>#N/A</v>
      </c>
      <c r="AD1003" s="323" t="e">
        <f t="shared" ca="1" si="461"/>
        <v>#N/A</v>
      </c>
      <c r="AE1003" s="324" t="e">
        <f t="shared" ca="1" si="440"/>
        <v>#N/A</v>
      </c>
      <c r="AG1003" s="306">
        <f t="shared" ca="1" si="462"/>
        <v>1.4538470972452426</v>
      </c>
      <c r="AH1003" s="304">
        <f t="shared" ca="1" si="463"/>
        <v>-8.3314441928037137</v>
      </c>
    </row>
    <row r="1004" spans="1:34" x14ac:dyDescent="0.3">
      <c r="A1004" s="348">
        <f t="shared" ca="1" si="441"/>
        <v>1E-4</v>
      </c>
      <c r="B1004" s="305">
        <f t="shared" ca="1" si="442"/>
        <v>16.165899999999809</v>
      </c>
      <c r="D1004" s="308">
        <f t="shared" ca="1" si="443"/>
        <v>-0.59094451274041893</v>
      </c>
      <c r="E1004" s="309">
        <f t="shared" ca="1" si="444"/>
        <v>-1.4994891796404062</v>
      </c>
      <c r="F1004" s="305">
        <f t="shared" ca="1" si="445"/>
        <v>1.6117329856389579</v>
      </c>
      <c r="G1004" s="308">
        <f t="shared" ca="1" si="446"/>
        <v>3.7152523786597045</v>
      </c>
      <c r="H1004" s="309">
        <f t="shared" ca="1" si="447"/>
        <v>-52.248940711203495</v>
      </c>
      <c r="I1004" s="305">
        <f t="shared" ca="1" si="448"/>
        <v>52.380863926437819</v>
      </c>
      <c r="J1004" s="308">
        <f t="shared" ca="1" si="449"/>
        <v>150.09587023194715</v>
      </c>
      <c r="K1004" s="309">
        <f t="shared" ca="1" si="450"/>
        <v>-6.2640810025934606</v>
      </c>
      <c r="L1004" s="305">
        <f t="shared" ca="1" si="435"/>
        <v>150.22652552559606</v>
      </c>
      <c r="M1004" s="308">
        <f t="shared" ca="1" si="451"/>
        <v>-1.4998090568772517</v>
      </c>
      <c r="N1004" s="305">
        <f t="shared" ca="1" si="452"/>
        <v>-85.932729034562968</v>
      </c>
      <c r="P1004" s="312">
        <f t="shared" ca="1" si="453"/>
        <v>23</v>
      </c>
      <c r="Q1004" s="305">
        <f t="shared" ca="1" si="454"/>
        <v>0</v>
      </c>
      <c r="R1004" s="308">
        <f t="shared" ca="1" si="455"/>
        <v>0</v>
      </c>
      <c r="S1004" s="309">
        <f t="shared" ca="1" si="456"/>
        <v>0.4270000000000001</v>
      </c>
      <c r="T1004" s="305">
        <f t="shared" ca="1" si="436"/>
        <v>4.1888700000000014</v>
      </c>
      <c r="U1004" s="313">
        <f t="shared" ca="1" si="437"/>
        <v>0</v>
      </c>
      <c r="V1004" s="308">
        <f t="shared" ca="1" si="438"/>
        <v>1.2257675903352199</v>
      </c>
      <c r="W1004" s="305">
        <f ca="1">1/2*Rho*Sref*Cx*vit_xz^2</f>
        <v>3.5575698836684371</v>
      </c>
      <c r="Y1004" s="317" t="str">
        <f ca="1">IF(AND(pos_z&lt;=0,K1003&gt;0),"Impact balistique","") &amp; IF(AND(H1005&lt;0,vit_z&gt;=0),"Apogée","") &amp; IF(AND(Poussee=0,Q1003&gt;0),"Fin de propulsion","") &amp; IF(AND(L1005&gt;L_rampe,pos_xz&lt;=L_rampe),"Sortie de rampe","")</f>
        <v/>
      </c>
      <c r="Z1004" s="318" t="str">
        <f t="shared" ca="1" si="458"/>
        <v/>
      </c>
      <c r="AA1004" s="319" t="str">
        <f t="shared" ca="1" si="459"/>
        <v/>
      </c>
      <c r="AC1004" s="312" t="e">
        <f t="shared" ca="1" si="460"/>
        <v>#N/A</v>
      </c>
      <c r="AD1004" s="325" t="e">
        <f t="shared" ca="1" si="461"/>
        <v>#N/A</v>
      </c>
      <c r="AE1004" s="326" t="e">
        <f t="shared" ca="1" si="440"/>
        <v>#N/A</v>
      </c>
      <c r="AG1004" s="308">
        <f t="shared" ca="1" si="462"/>
        <v>1.453797419777036</v>
      </c>
      <c r="AH1004" s="305">
        <f t="shared" ca="1" si="463"/>
        <v>-8.3314947946003013</v>
      </c>
    </row>
    <row r="1005" spans="1:34" x14ac:dyDescent="0.3">
      <c r="Y1005" s="303"/>
    </row>
    <row r="1010" spans="12:12" x14ac:dyDescent="0.3">
      <c r="L1010"/>
    </row>
    <row r="1034" spans="5:25" x14ac:dyDescent="0.3">
      <c r="E1034" s="300" t="s">
        <v>256</v>
      </c>
      <c r="J1034" s="301" t="s">
        <v>248</v>
      </c>
      <c r="T1034" s="300" t="s">
        <v>247</v>
      </c>
      <c r="Y1034" s="302" t="s">
        <v>250</v>
      </c>
    </row>
    <row r="1035" spans="5:25" x14ac:dyDescent="0.3">
      <c r="E1035" s="299" t="s">
        <v>260</v>
      </c>
    </row>
    <row r="1036" spans="5:25" x14ac:dyDescent="0.3">
      <c r="E1036" s="299"/>
      <c r="T1036" s="299" t="s">
        <v>253</v>
      </c>
    </row>
    <row r="1037" spans="5:25" x14ac:dyDescent="0.3">
      <c r="E1037" s="299"/>
      <c r="T1037" s="299" t="s">
        <v>257</v>
      </c>
    </row>
    <row r="1038" spans="5:25" x14ac:dyDescent="0.3">
      <c r="E1038" s="299"/>
      <c r="T1038" s="299" t="s">
        <v>258</v>
      </c>
    </row>
    <row r="1039" spans="5:25" x14ac:dyDescent="0.3">
      <c r="E1039" s="299"/>
      <c r="T1039" s="299" t="s">
        <v>264</v>
      </c>
    </row>
    <row r="1040" spans="5:25" x14ac:dyDescent="0.3">
      <c r="E1040" s="299" t="s">
        <v>259</v>
      </c>
      <c r="T1040" s="299" t="s">
        <v>249</v>
      </c>
    </row>
    <row r="1041" spans="5:20" x14ac:dyDescent="0.3">
      <c r="E1041" s="299"/>
      <c r="T1041" s="299" t="s">
        <v>265</v>
      </c>
    </row>
    <row r="1042" spans="5:20" x14ac:dyDescent="0.3">
      <c r="E1042" s="299"/>
      <c r="R1042" s="303"/>
      <c r="T1042" s="299"/>
    </row>
    <row r="1043" spans="5:20" x14ac:dyDescent="0.3">
      <c r="E1043" s="299"/>
    </row>
    <row r="1044" spans="5:20" x14ac:dyDescent="0.3">
      <c r="E1044" s="299"/>
    </row>
    <row r="1045" spans="5:20" x14ac:dyDescent="0.3">
      <c r="E1045" s="299" t="s">
        <v>262</v>
      </c>
      <c r="R1045" s="303"/>
      <c r="T1045" s="299"/>
    </row>
    <row r="1046" spans="5:20" x14ac:dyDescent="0.3">
      <c r="E1046" s="299"/>
    </row>
    <row r="1047" spans="5:20" x14ac:dyDescent="0.3">
      <c r="E1047" s="299"/>
    </row>
    <row r="1048" spans="5:20" x14ac:dyDescent="0.3">
      <c r="E1048" s="299"/>
      <c r="T1048" s="298" t="s">
        <v>255</v>
      </c>
    </row>
    <row r="1049" spans="5:20" x14ac:dyDescent="0.3">
      <c r="E1049" s="299"/>
    </row>
    <row r="1050" spans="5:20" x14ac:dyDescent="0.3">
      <c r="E1050" s="299" t="s">
        <v>263</v>
      </c>
    </row>
    <row r="1053" spans="5:20" x14ac:dyDescent="0.3">
      <c r="T1053" s="298" t="s">
        <v>270</v>
      </c>
    </row>
    <row r="1055" spans="5:20" x14ac:dyDescent="0.3">
      <c r="E1055" s="299" t="s">
        <v>252</v>
      </c>
    </row>
    <row r="1058" spans="5:20" x14ac:dyDescent="0.3">
      <c r="T1058" s="299" t="s">
        <v>271</v>
      </c>
    </row>
    <row r="1060" spans="5:20" x14ac:dyDescent="0.3">
      <c r="E1060" s="299" t="s">
        <v>261</v>
      </c>
    </row>
    <row r="1061" spans="5:20" x14ac:dyDescent="0.3">
      <c r="E1061" s="299"/>
    </row>
    <row r="1062" spans="5:20" x14ac:dyDescent="0.3">
      <c r="E1062" s="299"/>
    </row>
    <row r="1063" spans="5:20" x14ac:dyDescent="0.3">
      <c r="E1063" s="299"/>
    </row>
    <row r="1064" spans="5:20" x14ac:dyDescent="0.3">
      <c r="E1064" s="299"/>
    </row>
    <row r="1065" spans="5:20" x14ac:dyDescent="0.3">
      <c r="E1065" s="299" t="s">
        <v>251</v>
      </c>
    </row>
    <row r="1066" spans="5:20" x14ac:dyDescent="0.3">
      <c r="E1066" s="299"/>
    </row>
    <row r="1067" spans="5:20" x14ac:dyDescent="0.3">
      <c r="E1067" s="299"/>
    </row>
    <row r="1068" spans="5:20" x14ac:dyDescent="0.3">
      <c r="E1068" s="299"/>
    </row>
    <row r="1069" spans="5:20" x14ac:dyDescent="0.3">
      <c r="E1069" s="299"/>
    </row>
    <row r="1070" spans="5:20" x14ac:dyDescent="0.3">
      <c r="E1070" s="299" t="s">
        <v>254</v>
      </c>
    </row>
    <row r="1071" spans="5:20" x14ac:dyDescent="0.3">
      <c r="E1071" s="299"/>
    </row>
    <row r="1072" spans="5:20" x14ac:dyDescent="0.3">
      <c r="E1072" s="299"/>
    </row>
    <row r="1073" spans="5:5" x14ac:dyDescent="0.3">
      <c r="E1073" s="299"/>
    </row>
    <row r="1074" spans="5:5" x14ac:dyDescent="0.3">
      <c r="E1074" s="299"/>
    </row>
    <row r="1075" spans="5:5" x14ac:dyDescent="0.3">
      <c r="E1075" s="299" t="s">
        <v>266</v>
      </c>
    </row>
  </sheetData>
  <sheetProtection password="C6AC" sheet="1"/>
  <mergeCells count="5">
    <mergeCell ref="D1:N1"/>
    <mergeCell ref="P1:W1"/>
    <mergeCell ref="AG1:AH1"/>
    <mergeCell ref="Y2:AA2"/>
    <mergeCell ref="AC1:AE1"/>
  </mergeCells>
  <phoneticPr fontId="8" type="noConversion"/>
  <conditionalFormatting sqref="A4:XFD1004">
    <cfRule type="expression" dxfId="5" priority="7" stopIfTrue="1">
      <formula>OR($Y4="Sortie de rampe",$Z4="Para")</formula>
    </cfRule>
    <cfRule type="expression" dxfId="4" priority="8" stopIfTrue="1">
      <formula>OR($Y4="Fin de propulsion",$Y4="Impact balistique",$AA4="Satellite")</formula>
    </cfRule>
    <cfRule type="expression" dxfId="3" priority="9" stopIfTrue="1">
      <formula>$Y4="Apogée"</formula>
    </cfRule>
  </conditionalFormatting>
  <hyperlinks>
    <hyperlink ref="J1034" r:id="rId1" xr:uid="{00000000-0004-0000-0400-000000000000}"/>
    <hyperlink ref="Y1034" r:id="rId2" xr:uid="{00000000-0004-0000-0400-000001000000}"/>
  </hyperlinks>
  <pageMargins left="0.39370078740157483" right="0.39370078740157483" top="0.39370078740157483" bottom="0.39370078740157483" header="0" footer="0"/>
  <pageSetup paperSize="9" scale="29" firstPageNumber="0" fitToHeight="5" orientation="portrait" horizontalDpi="300" verticalDpi="300" r:id="rId3"/>
  <headerFooter alignWithMargins="0"/>
  <drawing r:id="rId4"/>
  <legacyDrawing r:id="rId5"/>
  <oleObjects>
    <mc:AlternateContent xmlns:mc="http://schemas.openxmlformats.org/markup-compatibility/2006">
      <mc:Choice Requires="x14">
        <oleObject progId="Equation.3" shapeId="3091" r:id="rId6">
          <objectPr defaultSize="0" autoPict="0" r:id="rId7">
            <anchor moveWithCells="1">
              <from>
                <xdr:col>18</xdr:col>
                <xdr:colOff>10886</xdr:colOff>
                <xdr:row>1010</xdr:row>
                <xdr:rowOff>103414</xdr:rowOff>
              </from>
              <to>
                <xdr:col>20</xdr:col>
                <xdr:colOff>293914</xdr:colOff>
                <xdr:row>1013</xdr:row>
                <xdr:rowOff>27214</xdr:rowOff>
              </to>
            </anchor>
          </objectPr>
        </oleObject>
      </mc:Choice>
      <mc:Fallback>
        <oleObject progId="Equation.3" shapeId="3091" r:id="rId6"/>
      </mc:Fallback>
    </mc:AlternateContent>
    <mc:AlternateContent xmlns:mc="http://schemas.openxmlformats.org/markup-compatibility/2006">
      <mc:Choice Requires="x14">
        <oleObject progId="Equation.3" shapeId="3092" r:id="rId8">
          <objectPr defaultSize="0" autoPict="0" r:id="rId9">
            <anchor moveWithCells="1">
              <from>
                <xdr:col>21</xdr:col>
                <xdr:colOff>27214</xdr:colOff>
                <xdr:row>1024</xdr:row>
                <xdr:rowOff>157843</xdr:rowOff>
              </from>
              <to>
                <xdr:col>25</xdr:col>
                <xdr:colOff>457200</xdr:colOff>
                <xdr:row>1026</xdr:row>
                <xdr:rowOff>76200</xdr:rowOff>
              </to>
            </anchor>
          </objectPr>
        </oleObject>
      </mc:Choice>
      <mc:Fallback>
        <oleObject progId="Equation.3" shapeId="3092" r:id="rId8"/>
      </mc:Fallback>
    </mc:AlternateContent>
    <mc:AlternateContent xmlns:mc="http://schemas.openxmlformats.org/markup-compatibility/2006">
      <mc:Choice Requires="x14">
        <oleObject progId="Equation.3" shapeId="3096" r:id="rId10">
          <objectPr defaultSize="0" autoPict="0" r:id="rId11">
            <anchor moveWithCells="1">
              <from>
                <xdr:col>16</xdr:col>
                <xdr:colOff>255814</xdr:colOff>
                <xdr:row>1006</xdr:row>
                <xdr:rowOff>27214</xdr:rowOff>
              </from>
              <to>
                <xdr:col>24</xdr:col>
                <xdr:colOff>152400</xdr:colOff>
                <xdr:row>1007</xdr:row>
                <xdr:rowOff>103414</xdr:rowOff>
              </to>
            </anchor>
          </objectPr>
        </oleObject>
      </mc:Choice>
      <mc:Fallback>
        <oleObject progId="Equation.3" shapeId="3096" r:id="rId10"/>
      </mc:Fallback>
    </mc:AlternateContent>
    <mc:AlternateContent xmlns:mc="http://schemas.openxmlformats.org/markup-compatibility/2006">
      <mc:Choice Requires="x14">
        <oleObject progId="Equation.3" shapeId="3112" r:id="rId12">
          <objectPr defaultSize="0" autoPict="0" r:id="rId13">
            <anchor moveWithCells="1">
              <from>
                <xdr:col>7</xdr:col>
                <xdr:colOff>10886</xdr:colOff>
                <xdr:row>1017</xdr:row>
                <xdr:rowOff>163286</xdr:rowOff>
              </from>
              <to>
                <xdr:col>10</xdr:col>
                <xdr:colOff>582386</xdr:colOff>
                <xdr:row>1019</xdr:row>
                <xdr:rowOff>141514</xdr:rowOff>
              </to>
            </anchor>
          </objectPr>
        </oleObject>
      </mc:Choice>
      <mc:Fallback>
        <oleObject progId="Equation.3" shapeId="3112" r:id="rId12"/>
      </mc:Fallback>
    </mc:AlternateContent>
    <mc:AlternateContent xmlns:mc="http://schemas.openxmlformats.org/markup-compatibility/2006">
      <mc:Choice Requires="x14">
        <oleObject progId="Equation.3" shapeId="3114" r:id="rId14">
          <objectPr defaultSize="0" autoPict="0" r:id="rId15">
            <anchor moveWithCells="1">
              <from>
                <xdr:col>7</xdr:col>
                <xdr:colOff>10886</xdr:colOff>
                <xdr:row>1014</xdr:row>
                <xdr:rowOff>179614</xdr:rowOff>
              </from>
              <to>
                <xdr:col>11</xdr:col>
                <xdr:colOff>266700</xdr:colOff>
                <xdr:row>1016</xdr:row>
                <xdr:rowOff>70757</xdr:rowOff>
              </to>
            </anchor>
          </objectPr>
        </oleObject>
      </mc:Choice>
      <mc:Fallback>
        <oleObject progId="Equation.3" shapeId="3114" r:id="rId14"/>
      </mc:Fallback>
    </mc:AlternateContent>
    <mc:AlternateContent xmlns:mc="http://schemas.openxmlformats.org/markup-compatibility/2006">
      <mc:Choice Requires="x14">
        <oleObject progId="Equation.3" shapeId="3115" r:id="rId16">
          <objectPr defaultSize="0" autoPict="0" r:id="rId17">
            <anchor moveWithCells="1">
              <from>
                <xdr:col>7</xdr:col>
                <xdr:colOff>10886</xdr:colOff>
                <xdr:row>1016</xdr:row>
                <xdr:rowOff>76200</xdr:rowOff>
              </from>
              <to>
                <xdr:col>11</xdr:col>
                <xdr:colOff>234043</xdr:colOff>
                <xdr:row>1017</xdr:row>
                <xdr:rowOff>157843</xdr:rowOff>
              </to>
            </anchor>
          </objectPr>
        </oleObject>
      </mc:Choice>
      <mc:Fallback>
        <oleObject progId="Equation.3" shapeId="3115" r:id="rId16"/>
      </mc:Fallback>
    </mc:AlternateContent>
    <mc:AlternateContent xmlns:mc="http://schemas.openxmlformats.org/markup-compatibility/2006">
      <mc:Choice Requires="x14">
        <oleObject progId="Equation.3" shapeId="3119" r:id="rId18">
          <objectPr defaultSize="0" autoPict="0" r:id="rId19">
            <anchor moveWithCells="1">
              <from>
                <xdr:col>10</xdr:col>
                <xdr:colOff>0</xdr:colOff>
                <xdr:row>1022</xdr:row>
                <xdr:rowOff>70757</xdr:rowOff>
              </from>
              <to>
                <xdr:col>17</xdr:col>
                <xdr:colOff>272143</xdr:colOff>
                <xdr:row>1024</xdr:row>
                <xdr:rowOff>163286</xdr:rowOff>
              </to>
            </anchor>
          </objectPr>
        </oleObject>
      </mc:Choice>
      <mc:Fallback>
        <oleObject progId="Equation.3" shapeId="3119" r:id="rId18"/>
      </mc:Fallback>
    </mc:AlternateContent>
    <mc:AlternateContent xmlns:mc="http://schemas.openxmlformats.org/markup-compatibility/2006">
      <mc:Choice Requires="x14">
        <oleObject progId="Equation.3" shapeId="3120" r:id="rId20">
          <objectPr defaultSize="0" autoPict="0" r:id="rId21">
            <anchor moveWithCells="1">
              <from>
                <xdr:col>4</xdr:col>
                <xdr:colOff>0</xdr:colOff>
                <xdr:row>1008</xdr:row>
                <xdr:rowOff>0</xdr:rowOff>
              </from>
              <to>
                <xdr:col>11</xdr:col>
                <xdr:colOff>234043</xdr:colOff>
                <xdr:row>1010</xdr:row>
                <xdr:rowOff>87086</xdr:rowOff>
              </to>
            </anchor>
          </objectPr>
        </oleObject>
      </mc:Choice>
      <mc:Fallback>
        <oleObject progId="Equation.3" shapeId="3120" r:id="rId20"/>
      </mc:Fallback>
    </mc:AlternateContent>
    <mc:AlternateContent xmlns:mc="http://schemas.openxmlformats.org/markup-compatibility/2006">
      <mc:Choice Requires="x14">
        <oleObject progId="Equation.3" shapeId="3121" r:id="rId22">
          <objectPr defaultSize="0" autoPict="0" r:id="rId23">
            <anchor moveWithCells="1">
              <from>
                <xdr:col>4</xdr:col>
                <xdr:colOff>0</xdr:colOff>
                <xdr:row>1010</xdr:row>
                <xdr:rowOff>103414</xdr:rowOff>
              </from>
              <to>
                <xdr:col>12</xdr:col>
                <xdr:colOff>239486</xdr:colOff>
                <xdr:row>1013</xdr:row>
                <xdr:rowOff>0</xdr:rowOff>
              </to>
            </anchor>
          </objectPr>
        </oleObject>
      </mc:Choice>
      <mc:Fallback>
        <oleObject progId="Equation.3" shapeId="3121" r:id="rId22"/>
      </mc:Fallback>
    </mc:AlternateContent>
    <mc:AlternateContent xmlns:mc="http://schemas.openxmlformats.org/markup-compatibility/2006">
      <mc:Choice Requires="x14">
        <oleObject progId="Equation.3" shapeId="3122" r:id="rId24">
          <objectPr defaultSize="0" autoPict="0" r:id="rId25">
            <anchor moveWithCells="1">
              <from>
                <xdr:col>1</xdr:col>
                <xdr:colOff>10886</xdr:colOff>
                <xdr:row>1006</xdr:row>
                <xdr:rowOff>103414</xdr:rowOff>
              </from>
              <to>
                <xdr:col>3</xdr:col>
                <xdr:colOff>538843</xdr:colOff>
                <xdr:row>1007</xdr:row>
                <xdr:rowOff>179614</xdr:rowOff>
              </to>
            </anchor>
          </objectPr>
        </oleObject>
      </mc:Choice>
      <mc:Fallback>
        <oleObject progId="Equation.3" shapeId="3122" r:id="rId24"/>
      </mc:Fallback>
    </mc:AlternateContent>
    <mc:AlternateContent xmlns:mc="http://schemas.openxmlformats.org/markup-compatibility/2006">
      <mc:Choice Requires="x14">
        <oleObject progId="Equation.3" shapeId="3124" r:id="rId26">
          <objectPr defaultSize="0" autoPict="0" r:id="rId27">
            <anchor moveWithCells="1">
              <from>
                <xdr:col>10</xdr:col>
                <xdr:colOff>0</xdr:colOff>
                <xdr:row>1024</xdr:row>
                <xdr:rowOff>179614</xdr:rowOff>
              </from>
              <to>
                <xdr:col>16</xdr:col>
                <xdr:colOff>0</xdr:colOff>
                <xdr:row>1026</xdr:row>
                <xdr:rowOff>146957</xdr:rowOff>
              </to>
            </anchor>
          </objectPr>
        </oleObject>
      </mc:Choice>
      <mc:Fallback>
        <oleObject progId="Equation.3" shapeId="3124" r:id="rId26"/>
      </mc:Fallback>
    </mc:AlternateContent>
    <mc:AlternateContent xmlns:mc="http://schemas.openxmlformats.org/markup-compatibility/2006">
      <mc:Choice Requires="x14">
        <oleObject progId="Equation.3" shapeId="3125" r:id="rId28">
          <objectPr defaultSize="0" autoPict="0" r:id="rId29">
            <anchor moveWithCells="1">
              <from>
                <xdr:col>18</xdr:col>
                <xdr:colOff>10886</xdr:colOff>
                <xdr:row>1013</xdr:row>
                <xdr:rowOff>32657</xdr:rowOff>
              </from>
              <to>
                <xdr:col>21</xdr:col>
                <xdr:colOff>27214</xdr:colOff>
                <xdr:row>1014</xdr:row>
                <xdr:rowOff>114300</xdr:rowOff>
              </to>
            </anchor>
          </objectPr>
        </oleObject>
      </mc:Choice>
      <mc:Fallback>
        <oleObject progId="Equation.3" shapeId="3125" r:id="rId28"/>
      </mc:Fallback>
    </mc:AlternateContent>
    <mc:AlternateContent xmlns:mc="http://schemas.openxmlformats.org/markup-compatibility/2006">
      <mc:Choice Requires="x14">
        <oleObject progId="Equation.3" shapeId="3127" r:id="rId30">
          <objectPr defaultSize="0" autoPict="0" r:id="rId31">
            <anchor moveWithCells="1">
              <from>
                <xdr:col>1</xdr:col>
                <xdr:colOff>10886</xdr:colOff>
                <xdr:row>1005</xdr:row>
                <xdr:rowOff>10886</xdr:rowOff>
              </from>
              <to>
                <xdr:col>10</xdr:col>
                <xdr:colOff>408214</xdr:colOff>
                <xdr:row>1006</xdr:row>
                <xdr:rowOff>87086</xdr:rowOff>
              </to>
            </anchor>
          </objectPr>
        </oleObject>
      </mc:Choice>
      <mc:Fallback>
        <oleObject progId="Equation.3" shapeId="3127" r:id="rId30"/>
      </mc:Fallback>
    </mc:AlternateContent>
    <mc:AlternateContent xmlns:mc="http://schemas.openxmlformats.org/markup-compatibility/2006">
      <mc:Choice Requires="x14">
        <oleObject progId="Equation.3" shapeId="3129" r:id="rId32">
          <objectPr defaultSize="0" autoPict="0" r:id="rId33">
            <anchor moveWithCells="1">
              <from>
                <xdr:col>4</xdr:col>
                <xdr:colOff>0</xdr:colOff>
                <xdr:row>1013</xdr:row>
                <xdr:rowOff>10886</xdr:rowOff>
              </from>
              <to>
                <xdr:col>8</xdr:col>
                <xdr:colOff>190500</xdr:colOff>
                <xdr:row>1014</xdr:row>
                <xdr:rowOff>163286</xdr:rowOff>
              </to>
            </anchor>
          </objectPr>
        </oleObject>
      </mc:Choice>
      <mc:Fallback>
        <oleObject progId="Equation.3" shapeId="3129" r:id="rId32"/>
      </mc:Fallback>
    </mc:AlternateContent>
    <mc:AlternateContent xmlns:mc="http://schemas.openxmlformats.org/markup-compatibility/2006">
      <mc:Choice Requires="x14">
        <oleObject progId="Equation.3" shapeId="3131" r:id="rId34">
          <objectPr defaultSize="0" autoPict="0" r:id="rId35">
            <anchor moveWithCells="1">
              <from>
                <xdr:col>20</xdr:col>
                <xdr:colOff>10886</xdr:colOff>
                <xdr:row>1018</xdr:row>
                <xdr:rowOff>48986</xdr:rowOff>
              </from>
              <to>
                <xdr:col>24</xdr:col>
                <xdr:colOff>1077686</xdr:colOff>
                <xdr:row>1019</xdr:row>
                <xdr:rowOff>141514</xdr:rowOff>
              </to>
            </anchor>
          </objectPr>
        </oleObject>
      </mc:Choice>
      <mc:Fallback>
        <oleObject progId="Equation.3" shapeId="3131" r:id="rId34"/>
      </mc:Fallback>
    </mc:AlternateContent>
    <mc:AlternateContent xmlns:mc="http://schemas.openxmlformats.org/markup-compatibility/2006">
      <mc:Choice Requires="x14">
        <oleObject progId="Equation.3" shapeId="3134" r:id="rId36">
          <objectPr defaultSize="0" autoPict="0" r:id="rId37">
            <anchor moveWithCells="1">
              <from>
                <xdr:col>10</xdr:col>
                <xdr:colOff>0</xdr:colOff>
                <xdr:row>1019</xdr:row>
                <xdr:rowOff>146957</xdr:rowOff>
              </from>
              <to>
                <xdr:col>20</xdr:col>
                <xdr:colOff>576943</xdr:colOff>
                <xdr:row>1022</xdr:row>
                <xdr:rowOff>48986</xdr:rowOff>
              </to>
            </anchor>
          </objectPr>
        </oleObject>
      </mc:Choice>
      <mc:Fallback>
        <oleObject progId="Equation.3" shapeId="3134" r:id="rId36"/>
      </mc:Fallback>
    </mc:AlternateContent>
    <mc:AlternateContent xmlns:mc="http://schemas.openxmlformats.org/markup-compatibility/2006">
      <mc:Choice Requires="x14">
        <oleObject progId="Equation.3" shapeId="3135" r:id="rId38">
          <objectPr defaultSize="0" autoPict="0" r:id="rId39">
            <anchor moveWithCells="1">
              <from>
                <xdr:col>12</xdr:col>
                <xdr:colOff>0</xdr:colOff>
                <xdr:row>1018</xdr:row>
                <xdr:rowOff>48986</xdr:rowOff>
              </from>
              <to>
                <xdr:col>19</xdr:col>
                <xdr:colOff>185057</xdr:colOff>
                <xdr:row>1019</xdr:row>
                <xdr:rowOff>141514</xdr:rowOff>
              </to>
            </anchor>
          </objectPr>
        </oleObject>
      </mc:Choice>
      <mc:Fallback>
        <oleObject progId="Equation.3" shapeId="3135" r:id="rId38"/>
      </mc:Fallback>
    </mc:AlternateContent>
    <mc:AlternateContent xmlns:mc="http://schemas.openxmlformats.org/markup-compatibility/2006">
      <mc:Choice Requires="x14">
        <oleObject progId="Equation.3" shapeId="3141" r:id="rId40">
          <objectPr defaultSize="0" autoPict="0" r:id="rId41">
            <anchor moveWithCells="1">
              <from>
                <xdr:col>33</xdr:col>
                <xdr:colOff>10886</xdr:colOff>
                <xdr:row>1007</xdr:row>
                <xdr:rowOff>119743</xdr:rowOff>
              </from>
              <to>
                <xdr:col>37</xdr:col>
                <xdr:colOff>277586</xdr:colOff>
                <xdr:row>1010</xdr:row>
                <xdr:rowOff>76200</xdr:rowOff>
              </to>
            </anchor>
          </objectPr>
        </oleObject>
      </mc:Choice>
      <mc:Fallback>
        <oleObject progId="Equation.3" shapeId="3141" r:id="rId40"/>
      </mc:Fallback>
    </mc:AlternateContent>
    <mc:AlternateContent xmlns:mc="http://schemas.openxmlformats.org/markup-compatibility/2006">
      <mc:Choice Requires="x14">
        <oleObject progId="Equation.3" shapeId="3142" r:id="rId42">
          <objectPr defaultSize="0" autoPict="0" r:id="rId43">
            <anchor moveWithCells="1">
              <from>
                <xdr:col>33</xdr:col>
                <xdr:colOff>10886</xdr:colOff>
                <xdr:row>1010</xdr:row>
                <xdr:rowOff>87086</xdr:rowOff>
              </from>
              <to>
                <xdr:col>35</xdr:col>
                <xdr:colOff>723900</xdr:colOff>
                <xdr:row>1013</xdr:row>
                <xdr:rowOff>43543</xdr:rowOff>
              </to>
            </anchor>
          </objectPr>
        </oleObject>
      </mc:Choice>
      <mc:Fallback>
        <oleObject progId="Equation.3" shapeId="3142" r:id="rId42"/>
      </mc:Fallback>
    </mc:AlternateContent>
    <mc:AlternateContent xmlns:mc="http://schemas.openxmlformats.org/markup-compatibility/2006">
      <mc:Choice Requires="x14">
        <oleObject progId="Equation.3" shapeId="3157" r:id="rId44">
          <objectPr defaultSize="0" autoPict="0" r:id="rId45">
            <anchor moveWithCells="1">
              <from>
                <xdr:col>4</xdr:col>
                <xdr:colOff>0</xdr:colOff>
                <xdr:row>1035</xdr:row>
                <xdr:rowOff>27214</xdr:rowOff>
              </from>
              <to>
                <xdr:col>11</xdr:col>
                <xdr:colOff>560614</xdr:colOff>
                <xdr:row>1038</xdr:row>
                <xdr:rowOff>27214</xdr:rowOff>
              </to>
            </anchor>
          </objectPr>
        </oleObject>
      </mc:Choice>
      <mc:Fallback>
        <oleObject progId="Equation.3" shapeId="3157" r:id="rId44"/>
      </mc:Fallback>
    </mc:AlternateContent>
    <mc:AlternateContent xmlns:mc="http://schemas.openxmlformats.org/markup-compatibility/2006">
      <mc:Choice Requires="x14">
        <oleObject progId="Equation.3" shapeId="3158" r:id="rId46">
          <objectPr defaultSize="0" autoPict="0" r:id="rId47">
            <anchor moveWithCells="1">
              <from>
                <xdr:col>4</xdr:col>
                <xdr:colOff>0</xdr:colOff>
                <xdr:row>1040</xdr:row>
                <xdr:rowOff>27214</xdr:rowOff>
              </from>
              <to>
                <xdr:col>12</xdr:col>
                <xdr:colOff>32657</xdr:colOff>
                <xdr:row>1043</xdr:row>
                <xdr:rowOff>27214</xdr:rowOff>
              </to>
            </anchor>
          </objectPr>
        </oleObject>
      </mc:Choice>
      <mc:Fallback>
        <oleObject progId="Equation.3" shapeId="3158" r:id="rId46"/>
      </mc:Fallback>
    </mc:AlternateContent>
    <mc:AlternateContent xmlns:mc="http://schemas.openxmlformats.org/markup-compatibility/2006">
      <mc:Choice Requires="x14">
        <oleObject progId="Equation.3" shapeId="3161" r:id="rId48">
          <objectPr defaultSize="0" autoPict="0" r:id="rId49">
            <anchor moveWithCells="1">
              <from>
                <xdr:col>18</xdr:col>
                <xdr:colOff>10886</xdr:colOff>
                <xdr:row>1014</xdr:row>
                <xdr:rowOff>119743</xdr:rowOff>
              </from>
              <to>
                <xdr:col>20</xdr:col>
                <xdr:colOff>337457</xdr:colOff>
                <xdr:row>1016</xdr:row>
                <xdr:rowOff>10886</xdr:rowOff>
              </to>
            </anchor>
          </objectPr>
        </oleObject>
      </mc:Choice>
      <mc:Fallback>
        <oleObject progId="Equation.3" shapeId="3161" r:id="rId48"/>
      </mc:Fallback>
    </mc:AlternateContent>
    <mc:AlternateContent xmlns:mc="http://schemas.openxmlformats.org/markup-compatibility/2006">
      <mc:Choice Requires="x14">
        <oleObject progId="Equation.3" shapeId="3162" r:id="rId50">
          <objectPr defaultSize="0" autoPict="0" r:id="rId51">
            <anchor moveWithCells="1">
              <from>
                <xdr:col>16</xdr:col>
                <xdr:colOff>255814</xdr:colOff>
                <xdr:row>1007</xdr:row>
                <xdr:rowOff>114300</xdr:rowOff>
              </from>
              <to>
                <xdr:col>32</xdr:col>
                <xdr:colOff>163286</xdr:colOff>
                <xdr:row>1010</xdr:row>
                <xdr:rowOff>87086</xdr:rowOff>
              </to>
            </anchor>
          </objectPr>
        </oleObject>
      </mc:Choice>
      <mc:Fallback>
        <oleObject progId="Equation.3" shapeId="3162" r:id="rId50"/>
      </mc:Fallback>
    </mc:AlternateContent>
    <mc:AlternateContent xmlns:mc="http://schemas.openxmlformats.org/markup-compatibility/2006">
      <mc:Choice Requires="x14">
        <oleObject progId="Equation.3" shapeId="3167" r:id="rId52">
          <objectPr defaultSize="0" autoPict="0" r:id="rId53">
            <anchor moveWithCells="1">
              <from>
                <xdr:col>4</xdr:col>
                <xdr:colOff>0</xdr:colOff>
                <xdr:row>1055</xdr:row>
                <xdr:rowOff>32657</xdr:rowOff>
              </from>
              <to>
                <xdr:col>12</xdr:col>
                <xdr:colOff>337457</xdr:colOff>
                <xdr:row>1058</xdr:row>
                <xdr:rowOff>48986</xdr:rowOff>
              </to>
            </anchor>
          </objectPr>
        </oleObject>
      </mc:Choice>
      <mc:Fallback>
        <oleObject progId="Equation.3" shapeId="3167" r:id="rId52"/>
      </mc:Fallback>
    </mc:AlternateContent>
    <mc:AlternateContent xmlns:mc="http://schemas.openxmlformats.org/markup-compatibility/2006">
      <mc:Choice Requires="x14">
        <oleObject progId="Equation.3" shapeId="3168" r:id="rId54">
          <objectPr defaultSize="0" autoPict="0" r:id="rId55">
            <anchor moveWithCells="1">
              <from>
                <xdr:col>4</xdr:col>
                <xdr:colOff>0</xdr:colOff>
                <xdr:row>1060</xdr:row>
                <xdr:rowOff>32657</xdr:rowOff>
              </from>
              <to>
                <xdr:col>15</xdr:col>
                <xdr:colOff>48986</xdr:colOff>
                <xdr:row>1063</xdr:row>
                <xdr:rowOff>48986</xdr:rowOff>
              </to>
            </anchor>
          </objectPr>
        </oleObject>
      </mc:Choice>
      <mc:Fallback>
        <oleObject progId="Equation.3" shapeId="3168" r:id="rId54"/>
      </mc:Fallback>
    </mc:AlternateContent>
    <mc:AlternateContent xmlns:mc="http://schemas.openxmlformats.org/markup-compatibility/2006">
      <mc:Choice Requires="x14">
        <oleObject progId="Equation.3" shapeId="3169" r:id="rId56">
          <objectPr defaultSize="0" autoPict="0" r:id="rId57">
            <anchor moveWithCells="1">
              <from>
                <xdr:col>4</xdr:col>
                <xdr:colOff>0</xdr:colOff>
                <xdr:row>1065</xdr:row>
                <xdr:rowOff>32657</xdr:rowOff>
              </from>
              <to>
                <xdr:col>16</xdr:col>
                <xdr:colOff>674914</xdr:colOff>
                <xdr:row>1068</xdr:row>
                <xdr:rowOff>48986</xdr:rowOff>
              </to>
            </anchor>
          </objectPr>
        </oleObject>
      </mc:Choice>
      <mc:Fallback>
        <oleObject progId="Equation.3" shapeId="3169" r:id="rId56"/>
      </mc:Fallback>
    </mc:AlternateContent>
    <mc:AlternateContent xmlns:mc="http://schemas.openxmlformats.org/markup-compatibility/2006">
      <mc:Choice Requires="x14">
        <oleObject progId="Equation.3" shapeId="3173" r:id="rId58">
          <objectPr defaultSize="0" autoPict="0" r:id="rId59">
            <anchor moveWithCells="1">
              <from>
                <xdr:col>4</xdr:col>
                <xdr:colOff>0</xdr:colOff>
                <xdr:row>1045</xdr:row>
                <xdr:rowOff>32657</xdr:rowOff>
              </from>
              <to>
                <xdr:col>16</xdr:col>
                <xdr:colOff>108857</xdr:colOff>
                <xdr:row>1048</xdr:row>
                <xdr:rowOff>32657</xdr:rowOff>
              </to>
            </anchor>
          </objectPr>
        </oleObject>
      </mc:Choice>
      <mc:Fallback>
        <oleObject progId="Equation.3" shapeId="3173" r:id="rId58"/>
      </mc:Fallback>
    </mc:AlternateContent>
    <mc:AlternateContent xmlns:mc="http://schemas.openxmlformats.org/markup-compatibility/2006">
      <mc:Choice Requires="x14">
        <oleObject progId="Equation.3" shapeId="3174" r:id="rId60">
          <objectPr defaultSize="0" autoPict="0" r:id="rId61">
            <anchor moveWithCells="1">
              <from>
                <xdr:col>4</xdr:col>
                <xdr:colOff>0</xdr:colOff>
                <xdr:row>1050</xdr:row>
                <xdr:rowOff>32657</xdr:rowOff>
              </from>
              <to>
                <xdr:col>16</xdr:col>
                <xdr:colOff>386443</xdr:colOff>
                <xdr:row>1053</xdr:row>
                <xdr:rowOff>48986</xdr:rowOff>
              </to>
            </anchor>
          </objectPr>
        </oleObject>
      </mc:Choice>
      <mc:Fallback>
        <oleObject progId="Equation.3" shapeId="3174" r:id="rId60"/>
      </mc:Fallback>
    </mc:AlternateContent>
    <mc:AlternateContent xmlns:mc="http://schemas.openxmlformats.org/markup-compatibility/2006">
      <mc:Choice Requires="x14">
        <oleObject progId="Equation.3" shapeId="3178" r:id="rId62">
          <objectPr defaultSize="0" autoPict="0" r:id="rId63">
            <anchor moveWithCells="1">
              <from>
                <xdr:col>4</xdr:col>
                <xdr:colOff>0</xdr:colOff>
                <xdr:row>1070</xdr:row>
                <xdr:rowOff>32657</xdr:rowOff>
              </from>
              <to>
                <xdr:col>12</xdr:col>
                <xdr:colOff>413657</xdr:colOff>
                <xdr:row>1073</xdr:row>
                <xdr:rowOff>48986</xdr:rowOff>
              </to>
            </anchor>
          </objectPr>
        </oleObject>
      </mc:Choice>
      <mc:Fallback>
        <oleObject progId="Equation.3" shapeId="3178" r:id="rId62"/>
      </mc:Fallback>
    </mc:AlternateContent>
    <mc:AlternateContent xmlns:mc="http://schemas.openxmlformats.org/markup-compatibility/2006">
      <mc:Choice Requires="x14">
        <oleObject progId="Equation.3" shapeId="3188" r:id="rId64">
          <objectPr defaultSize="0" autoPict="0" r:id="rId65">
            <anchor moveWithCells="1">
              <from>
                <xdr:col>19</xdr:col>
                <xdr:colOff>0</xdr:colOff>
                <xdr:row>1053</xdr:row>
                <xdr:rowOff>32657</xdr:rowOff>
              </from>
              <to>
                <xdr:col>32</xdr:col>
                <xdr:colOff>419100</xdr:colOff>
                <xdr:row>1056</xdr:row>
                <xdr:rowOff>32657</xdr:rowOff>
              </to>
            </anchor>
          </objectPr>
        </oleObject>
      </mc:Choice>
      <mc:Fallback>
        <oleObject progId="Equation.3" shapeId="3188" r:id="rId64"/>
      </mc:Fallback>
    </mc:AlternateContent>
    <mc:AlternateContent xmlns:mc="http://schemas.openxmlformats.org/markup-compatibility/2006">
      <mc:Choice Requires="x14">
        <oleObject progId="Equation.3" shapeId="3192" r:id="rId66">
          <objectPr defaultSize="0" autoPict="0" r:id="rId67">
            <anchor moveWithCells="1">
              <from>
                <xdr:col>21</xdr:col>
                <xdr:colOff>27214</xdr:colOff>
                <xdr:row>1022</xdr:row>
                <xdr:rowOff>48986</xdr:rowOff>
              </from>
              <to>
                <xdr:col>32</xdr:col>
                <xdr:colOff>266700</xdr:colOff>
                <xdr:row>1024</xdr:row>
                <xdr:rowOff>141514</xdr:rowOff>
              </to>
            </anchor>
          </objectPr>
        </oleObject>
      </mc:Choice>
      <mc:Fallback>
        <oleObject progId="Equation.3" shapeId="3192" r:id="rId66"/>
      </mc:Fallback>
    </mc:AlternateContent>
    <mc:AlternateContent xmlns:mc="http://schemas.openxmlformats.org/markup-compatibility/2006">
      <mc:Choice Requires="x14">
        <oleObject progId="Equation.3" shapeId="3220" r:id="rId68">
          <objectPr defaultSize="0" autoPict="0" r:id="rId69">
            <anchor moveWithCells="1">
              <from>
                <xdr:col>33</xdr:col>
                <xdr:colOff>0</xdr:colOff>
                <xdr:row>1017</xdr:row>
                <xdr:rowOff>27214</xdr:rowOff>
              </from>
              <to>
                <xdr:col>36</xdr:col>
                <xdr:colOff>163286</xdr:colOff>
                <xdr:row>1020</xdr:row>
                <xdr:rowOff>27214</xdr:rowOff>
              </to>
            </anchor>
          </objectPr>
        </oleObject>
      </mc:Choice>
      <mc:Fallback>
        <oleObject progId="Equation.3" shapeId="3220" r:id="rId68"/>
      </mc:Fallback>
    </mc:AlternateContent>
    <mc:AlternateContent xmlns:mc="http://schemas.openxmlformats.org/markup-compatibility/2006">
      <mc:Choice Requires="x14">
        <oleObject progId="Equation.3" shapeId="3222" r:id="rId70">
          <objectPr defaultSize="0" autoPict="0" r:id="rId71">
            <anchor moveWithCells="1">
              <from>
                <xdr:col>33</xdr:col>
                <xdr:colOff>0</xdr:colOff>
                <xdr:row>1014</xdr:row>
                <xdr:rowOff>0</xdr:rowOff>
              </from>
              <to>
                <xdr:col>36</xdr:col>
                <xdr:colOff>696686</xdr:colOff>
                <xdr:row>1017</xdr:row>
                <xdr:rowOff>0</xdr:rowOff>
              </to>
            </anchor>
          </objectPr>
        </oleObject>
      </mc:Choice>
      <mc:Fallback>
        <oleObject progId="Equation.3" shapeId="3222" r:id="rId70"/>
      </mc:Fallback>
    </mc:AlternateContent>
    <mc:AlternateContent xmlns:mc="http://schemas.openxmlformats.org/markup-compatibility/2006">
      <mc:Choice Requires="x14">
        <oleObject progId="Equation.3" shapeId="3223" r:id="rId72">
          <objectPr defaultSize="0" autoPict="0" r:id="rId73">
            <anchor moveWithCells="1">
              <from>
                <xdr:col>33</xdr:col>
                <xdr:colOff>0</xdr:colOff>
                <xdr:row>1020</xdr:row>
                <xdr:rowOff>43543</xdr:rowOff>
              </from>
              <to>
                <xdr:col>35</xdr:col>
                <xdr:colOff>141514</xdr:colOff>
                <xdr:row>1023</xdr:row>
                <xdr:rowOff>43543</xdr:rowOff>
              </to>
            </anchor>
          </objectPr>
        </oleObject>
      </mc:Choice>
      <mc:Fallback>
        <oleObject progId="Equation.3" shapeId="3223" r:id="rId72"/>
      </mc:Fallback>
    </mc:AlternateContent>
    <mc:AlternateContent xmlns:mc="http://schemas.openxmlformats.org/markup-compatibility/2006">
      <mc:Choice Requires="x14">
        <oleObject progId="Equation.3" shapeId="3225" r:id="rId74">
          <objectPr defaultSize="0" autoPict="0" r:id="rId75">
            <anchor moveWithCells="1">
              <from>
                <xdr:col>33</xdr:col>
                <xdr:colOff>0</xdr:colOff>
                <xdr:row>1023</xdr:row>
                <xdr:rowOff>70757</xdr:rowOff>
              </from>
              <to>
                <xdr:col>36</xdr:col>
                <xdr:colOff>48986</xdr:colOff>
                <xdr:row>1026</xdr:row>
                <xdr:rowOff>70757</xdr:rowOff>
              </to>
            </anchor>
          </objectPr>
        </oleObject>
      </mc:Choice>
      <mc:Fallback>
        <oleObject progId="Equation.3" shapeId="3225" r:id="rId74"/>
      </mc:Fallback>
    </mc:AlternateContent>
    <mc:AlternateContent xmlns:mc="http://schemas.openxmlformats.org/markup-compatibility/2006">
      <mc:Choice Requires="x14">
        <oleObject progId="Equation.3" shapeId="3281" r:id="rId76">
          <objectPr defaultSize="0" autoPict="0" r:id="rId77">
            <anchor moveWithCells="1">
              <from>
                <xdr:col>19</xdr:col>
                <xdr:colOff>0</xdr:colOff>
                <xdr:row>1048</xdr:row>
                <xdr:rowOff>32657</xdr:rowOff>
              </from>
              <to>
                <xdr:col>34</xdr:col>
                <xdr:colOff>348343</xdr:colOff>
                <xdr:row>1051</xdr:row>
                <xdr:rowOff>87086</xdr:rowOff>
              </to>
            </anchor>
          </objectPr>
        </oleObject>
      </mc:Choice>
      <mc:Fallback>
        <oleObject progId="Equation.3" shapeId="3281" r:id="rId7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pageSetUpPr fitToPage="1"/>
  </sheetPr>
  <dimension ref="A1:M81"/>
  <sheetViews>
    <sheetView showGridLines="0" zoomScaleNormal="100" workbookViewId="0">
      <selection activeCell="E13" sqref="E13"/>
    </sheetView>
  </sheetViews>
  <sheetFormatPr baseColWidth="10" defaultRowHeight="12.45" x14ac:dyDescent="0.3"/>
  <cols>
    <col min="1" max="1" width="2.15234375" customWidth="1"/>
    <col min="2" max="2" width="16.15234375" customWidth="1"/>
    <col min="3" max="4" width="11.3828125" customWidth="1"/>
  </cols>
  <sheetData>
    <row r="1" spans="1:13" x14ac:dyDescent="0.3">
      <c r="A1" s="51"/>
      <c r="B1" s="52"/>
      <c r="C1" s="53"/>
      <c r="D1" s="52"/>
      <c r="E1" s="72"/>
      <c r="F1" s="72"/>
      <c r="G1" s="72"/>
      <c r="H1" s="72"/>
      <c r="I1" s="72"/>
      <c r="J1" s="72"/>
      <c r="K1" s="72"/>
      <c r="L1" s="72"/>
      <c r="M1" s="73"/>
    </row>
    <row r="2" spans="1:13" ht="12.75" customHeight="1" x14ac:dyDescent="0.3">
      <c r="A2" s="56"/>
      <c r="B2" s="2"/>
      <c r="C2" s="632" t="s">
        <v>283</v>
      </c>
      <c r="D2" s="632"/>
      <c r="M2" s="75"/>
    </row>
    <row r="3" spans="1:13" ht="12.75" customHeight="1" x14ac:dyDescent="0.3">
      <c r="A3" s="56"/>
      <c r="B3" s="2"/>
      <c r="C3" s="632"/>
      <c r="D3" s="632"/>
      <c r="M3" s="75"/>
    </row>
    <row r="4" spans="1:13" x14ac:dyDescent="0.3">
      <c r="A4" s="56"/>
      <c r="B4" s="2"/>
      <c r="C4" s="636" t="str">
        <f>IF(Lang="Français","Abaques de performance",IF(Lang="English","Performance charts",""))</f>
        <v>Abaques de performance</v>
      </c>
      <c r="D4" s="636"/>
      <c r="M4" s="75"/>
    </row>
    <row r="5" spans="1:13" x14ac:dyDescent="0.3">
      <c r="A5" s="56"/>
      <c r="B5" s="2"/>
      <c r="C5" s="636" t="str">
        <f>IF(Lang="Français","Calcul analytique simple",IF(Lang="English","Analytical computation",""))</f>
        <v>Calcul analytique simple</v>
      </c>
      <c r="D5" s="636"/>
      <c r="M5" s="75"/>
    </row>
    <row r="6" spans="1:13" x14ac:dyDescent="0.3">
      <c r="A6" s="56"/>
      <c r="B6" s="87"/>
      <c r="C6" s="1"/>
      <c r="D6" s="1"/>
      <c r="M6" s="75"/>
    </row>
    <row r="7" spans="1:13" x14ac:dyDescent="0.3">
      <c r="A7" s="59"/>
      <c r="B7" s="6"/>
      <c r="C7" s="612" t="str">
        <f>IF(Lang="Français","Fusée",IF(Lang="English","Rocket",""))</f>
        <v>Fusée</v>
      </c>
      <c r="D7" s="612"/>
      <c r="M7" s="75"/>
    </row>
    <row r="8" spans="1:13" ht="15.45" x14ac:dyDescent="0.4">
      <c r="A8" s="59"/>
      <c r="B8" s="140" t="str">
        <f>IF(Lang="Français","Nom",IF(Lang="English","Name",""))</f>
        <v>Nom</v>
      </c>
      <c r="C8" s="633" t="str">
        <f>Nom</f>
        <v>Ma fusée</v>
      </c>
      <c r="D8" s="633"/>
      <c r="M8" s="75"/>
    </row>
    <row r="9" spans="1:13" ht="15.45" x14ac:dyDescent="0.4">
      <c r="A9" s="59"/>
      <c r="B9" s="140" t="s">
        <v>4</v>
      </c>
      <c r="C9" s="633" t="str">
        <f>Club</f>
        <v>Mon club</v>
      </c>
      <c r="D9" s="633"/>
      <c r="M9" s="75"/>
    </row>
    <row r="10" spans="1:13" ht="15.45" x14ac:dyDescent="0.4">
      <c r="A10" s="59"/>
      <c r="B10" s="140" t="s">
        <v>568</v>
      </c>
      <c r="C10" s="662" t="str">
        <f>Matricule</f>
        <v>MF0</v>
      </c>
      <c r="D10" s="663"/>
      <c r="M10" s="75"/>
    </row>
    <row r="11" spans="1:13" x14ac:dyDescent="0.3">
      <c r="A11" s="59"/>
      <c r="B11" s="140" t="str">
        <f>IF(Lang="Français","Masse sans propu",IF(Lang="English","Mass without M",""))</f>
        <v>Masse sans propu</v>
      </c>
      <c r="C11" s="664">
        <f>MasseSans</f>
        <v>0.35899999999999999</v>
      </c>
      <c r="D11" s="664"/>
      <c r="M11" s="75"/>
    </row>
    <row r="12" spans="1:13" x14ac:dyDescent="0.3">
      <c r="A12" s="59"/>
      <c r="B12" s="140" t="str">
        <f>IF(Lang="Français","Masse totale",IF(Lang="English","Total mass",""))</f>
        <v>Masse totale</v>
      </c>
      <c r="C12" s="667" t="str">
        <f ca="1">MassePlein &amp; " kg ±" &amp; MasseSans &amp; " kg"</f>
        <v>0,458 kg ±0,359 kg</v>
      </c>
      <c r="D12" s="667"/>
      <c r="M12" s="75"/>
    </row>
    <row r="13" spans="1:13" x14ac:dyDescent="0.3">
      <c r="A13" s="59"/>
      <c r="B13" s="227" t="str">
        <f>IF(Lang="Français","Propulseur",IF(Lang="English","Motor",""))</f>
        <v>Propulseur</v>
      </c>
      <c r="C13" s="610" t="str">
        <f>Propu</f>
        <v>p29-1G 57F59</v>
      </c>
      <c r="D13" s="611"/>
      <c r="M13" s="75"/>
    </row>
    <row r="14" spans="1:13" x14ac:dyDescent="0.3">
      <c r="A14" s="59"/>
      <c r="B14" s="1"/>
      <c r="C14" s="1"/>
      <c r="D14" s="1"/>
      <c r="M14" s="75"/>
    </row>
    <row r="15" spans="1:13" x14ac:dyDescent="0.3">
      <c r="A15" s="74"/>
      <c r="C15" s="612" t="str">
        <f>IF(Lang="Français","Traînée Aérdynamique",IF(Lang="English","Drag",""))</f>
        <v>Traînée Aérdynamique</v>
      </c>
      <c r="D15" s="612"/>
      <c r="M15" s="75"/>
    </row>
    <row r="16" spans="1:13" x14ac:dyDescent="0.3">
      <c r="A16" s="74"/>
      <c r="B16" s="139" t="str">
        <f>IF(Lang="Français","Diamètre Ø",IF(Lang="English","Diameter Ø",""))</f>
        <v>Diamètre Ø</v>
      </c>
      <c r="C16" s="665">
        <f>D_ref</f>
        <v>59</v>
      </c>
      <c r="D16" s="665"/>
      <c r="M16" s="75"/>
    </row>
    <row r="17" spans="1:13" x14ac:dyDescent="0.3">
      <c r="A17" s="74"/>
      <c r="B17" s="140" t="s">
        <v>5</v>
      </c>
      <c r="C17" s="666">
        <f>Cx</f>
        <v>0.6</v>
      </c>
      <c r="D17" s="666"/>
      <c r="M17" s="75"/>
    </row>
    <row r="18" spans="1:13" x14ac:dyDescent="0.3">
      <c r="A18" s="74"/>
      <c r="M18" s="75"/>
    </row>
    <row r="19" spans="1:13" x14ac:dyDescent="0.3">
      <c r="A19" s="74"/>
      <c r="M19" s="75"/>
    </row>
    <row r="20" spans="1:13" x14ac:dyDescent="0.3">
      <c r="A20" s="74"/>
      <c r="M20" s="75"/>
    </row>
    <row r="21" spans="1:13" x14ac:dyDescent="0.3">
      <c r="A21" s="74"/>
      <c r="M21" s="75"/>
    </row>
    <row r="22" spans="1:13" x14ac:dyDescent="0.3">
      <c r="A22" s="74"/>
      <c r="M22" s="75"/>
    </row>
    <row r="23" spans="1:13" x14ac:dyDescent="0.3">
      <c r="A23" s="74"/>
      <c r="M23" s="75"/>
    </row>
    <row r="24" spans="1:13" x14ac:dyDescent="0.3">
      <c r="A24" s="74"/>
      <c r="M24" s="75"/>
    </row>
    <row r="25" spans="1:13" x14ac:dyDescent="0.3">
      <c r="A25" s="74"/>
      <c r="M25" s="75"/>
    </row>
    <row r="26" spans="1:13" x14ac:dyDescent="0.3">
      <c r="A26" s="74"/>
      <c r="M26" s="75"/>
    </row>
    <row r="27" spans="1:13" x14ac:dyDescent="0.3">
      <c r="A27" s="74"/>
      <c r="M27" s="75"/>
    </row>
    <row r="28" spans="1:13" x14ac:dyDescent="0.3">
      <c r="A28" s="74"/>
      <c r="M28" s="75"/>
    </row>
    <row r="29" spans="1:13" x14ac:dyDescent="0.3">
      <c r="A29" s="74"/>
      <c r="M29" s="75"/>
    </row>
    <row r="30" spans="1:13" x14ac:dyDescent="0.3">
      <c r="A30" s="74"/>
      <c r="M30" s="75"/>
    </row>
    <row r="31" spans="1:13" x14ac:dyDescent="0.3">
      <c r="A31" s="74"/>
      <c r="M31" s="75"/>
    </row>
    <row r="32" spans="1:13" x14ac:dyDescent="0.3">
      <c r="A32" s="74"/>
      <c r="M32" s="75"/>
    </row>
    <row r="33" spans="1:13" x14ac:dyDescent="0.3">
      <c r="A33" s="74"/>
      <c r="M33" s="75"/>
    </row>
    <row r="34" spans="1:13" x14ac:dyDescent="0.3">
      <c r="A34" s="74"/>
      <c r="M34" s="75"/>
    </row>
    <row r="35" spans="1:13" x14ac:dyDescent="0.3">
      <c r="A35" s="74"/>
      <c r="M35" s="75"/>
    </row>
    <row r="36" spans="1:13" x14ac:dyDescent="0.3">
      <c r="A36" s="74"/>
      <c r="M36" s="75"/>
    </row>
    <row r="37" spans="1:13" ht="12.9" thickBot="1" x14ac:dyDescent="0.35">
      <c r="A37" s="77"/>
      <c r="B37" s="78"/>
      <c r="C37" s="78"/>
      <c r="D37" s="78"/>
      <c r="E37" s="78"/>
      <c r="F37" s="78"/>
      <c r="G37" s="78"/>
      <c r="H37" s="78"/>
      <c r="I37" s="78"/>
      <c r="J37" s="78"/>
      <c r="K37" s="78"/>
      <c r="L37" s="78"/>
      <c r="M37" s="79"/>
    </row>
    <row r="41" spans="1:13" x14ac:dyDescent="0.3">
      <c r="B41" s="419" t="s">
        <v>61</v>
      </c>
      <c r="C41" s="170" t="s">
        <v>287</v>
      </c>
      <c r="D41" s="134" t="s">
        <v>284</v>
      </c>
      <c r="E41" s="134" t="s">
        <v>288</v>
      </c>
      <c r="F41" s="134" t="s">
        <v>289</v>
      </c>
      <c r="G41" s="134" t="s">
        <v>13</v>
      </c>
      <c r="H41" s="134" t="s">
        <v>285</v>
      </c>
      <c r="I41" s="134" t="s">
        <v>286</v>
      </c>
      <c r="J41" s="134" t="s">
        <v>301</v>
      </c>
      <c r="K41" s="134" t="s">
        <v>302</v>
      </c>
      <c r="L41" s="134" t="s">
        <v>304</v>
      </c>
      <c r="M41" s="134" t="s">
        <v>292</v>
      </c>
    </row>
    <row r="42" spans="1:13" x14ac:dyDescent="0.3">
      <c r="B42" s="420" t="s">
        <v>293</v>
      </c>
      <c r="C42" s="170" t="s">
        <v>294</v>
      </c>
      <c r="D42" s="134" t="s">
        <v>295</v>
      </c>
      <c r="E42" s="134" t="s">
        <v>296</v>
      </c>
      <c r="F42" s="134" t="s">
        <v>297</v>
      </c>
      <c r="G42" s="134" t="s">
        <v>298</v>
      </c>
      <c r="H42" s="134" t="s">
        <v>299</v>
      </c>
      <c r="I42" s="134" t="s">
        <v>300</v>
      </c>
      <c r="J42" s="134" t="s">
        <v>290</v>
      </c>
      <c r="K42" s="134" t="s">
        <v>291</v>
      </c>
      <c r="L42" s="134"/>
      <c r="M42" s="134"/>
    </row>
    <row r="43" spans="1:13" x14ac:dyDescent="0.3">
      <c r="B43" s="425">
        <f t="shared" ref="B43:B51" ca="1" si="0">MAX(D_ref*0.5, Diam_propu)</f>
        <v>29.5</v>
      </c>
      <c r="C43" s="403">
        <f t="shared" ref="C43:C69" ca="1" si="1">1/2*Rho_moyen*PI()*D_var^2/4*Cx/10^6</f>
        <v>2.5118358624851131E-4</v>
      </c>
      <c r="D43" s="400">
        <f ca="1">MpropuPlein+0*MasseSans</f>
        <v>9.9000000000000005E-2</v>
      </c>
      <c r="E43" s="400">
        <f t="shared" ref="E43:E69" ca="1" si="2">m_var - 0.5*m_poudre</f>
        <v>8.3500000000000005E-2</v>
      </c>
      <c r="F43" s="400">
        <f t="shared" ref="F43:F69" ca="1" si="3">m_var - m_poudre</f>
        <v>6.8000000000000005E-2</v>
      </c>
      <c r="G43" s="407">
        <f t="shared" ref="G43:G69" ca="1" si="4">MAX(0, (I_total/Temps_fin_propu)/m_prop-g)</f>
        <v>332.64508982035926</v>
      </c>
      <c r="H43" s="406">
        <f t="shared" ref="H43:H69" ca="1" si="5">Q_var/m_prop</f>
        <v>3.0081866616588179E-3</v>
      </c>
      <c r="I43" s="403">
        <f t="shared" ref="I43:I69" ca="1" si="6">Q_var/m_bal</f>
        <v>3.6938762683604602E-3</v>
      </c>
      <c r="J43" s="403">
        <f t="shared" ref="J43:J69" ca="1" si="7">1/(2*b_prop)*LN(  ((EXP(2*SQRT(a_prop*b_prop)*Temps_fin_propu)+1)^2)  /  (((1+1)^2)*EXP(2*SQRT(a_prop*b_prop)*Temps_fin_propu)))</f>
        <v>440.67660717574591</v>
      </c>
      <c r="K43" s="410">
        <f t="shared" ref="K43:K69" ca="1" si="8">SQRT(a_prop/b_prop)  *  (EXP(2*SQRT(a_prop*b_prop)*Temps_fin_propu)-1)/(EXP(2*SQRT(a_prop*b_prop)*Temps_fin_propu)+1)</f>
        <v>320.58896484545988</v>
      </c>
      <c r="L43" s="413">
        <f t="shared" ref="L43:L69" ca="1" si="9">alt_prop + 1/(2*b_bal) * LN(1+b_bal/g*V_prop^2)</f>
        <v>938.98107388045992</v>
      </c>
      <c r="M43" s="416">
        <f t="shared" ref="M43:M69" ca="1" si="10">Temps_fin_propu + ATAN(SQRT(b_bal/g)*V_prop)/SQRT(b_bal*g)</f>
        <v>9.4144367585128386</v>
      </c>
    </row>
    <row r="44" spans="1:13" x14ac:dyDescent="0.3">
      <c r="B44" s="426">
        <f t="shared" ca="1" si="0"/>
        <v>29.5</v>
      </c>
      <c r="C44" s="404">
        <f t="shared" ca="1" si="1"/>
        <v>2.5118358624851131E-4</v>
      </c>
      <c r="D44" s="401">
        <f ca="1">MpropuPlein+0.25*MasseSans</f>
        <v>0.18875</v>
      </c>
      <c r="E44" s="401">
        <f t="shared" ca="1" si="2"/>
        <v>0.17325000000000002</v>
      </c>
      <c r="F44" s="401">
        <f t="shared" ca="1" si="3"/>
        <v>0.15775</v>
      </c>
      <c r="G44" s="408">
        <f t="shared" ca="1" si="4"/>
        <v>155.24050505050505</v>
      </c>
      <c r="H44" s="404">
        <f t="shared" ca="1" si="5"/>
        <v>1.4498331096595169E-3</v>
      </c>
      <c r="I44" s="404">
        <f t="shared" ca="1" si="6"/>
        <v>1.5922889778035583E-3</v>
      </c>
      <c r="J44" s="404">
        <f t="shared" ca="1" si="7"/>
        <v>272.70682061522473</v>
      </c>
      <c r="K44" s="411">
        <f t="shared" ca="1" si="8"/>
        <v>241.90139560758095</v>
      </c>
      <c r="L44" s="414">
        <f t="shared" ca="1" si="9"/>
        <v>1011.0085713387667</v>
      </c>
      <c r="M44" s="417">
        <f t="shared" ca="1" si="10"/>
        <v>12.057788576786056</v>
      </c>
    </row>
    <row r="45" spans="1:13" x14ac:dyDescent="0.3">
      <c r="B45" s="426">
        <f t="shared" ca="1" si="0"/>
        <v>29.5</v>
      </c>
      <c r="C45" s="404">
        <f t="shared" ca="1" si="1"/>
        <v>2.5118358624851131E-4</v>
      </c>
      <c r="D45" s="401">
        <f ca="1">MpropuPlein+0.5*MasseSans</f>
        <v>0.27849999999999997</v>
      </c>
      <c r="E45" s="401">
        <f t="shared" ca="1" si="2"/>
        <v>0.26299999999999996</v>
      </c>
      <c r="F45" s="401">
        <f t="shared" ca="1" si="3"/>
        <v>0.24749999999999997</v>
      </c>
      <c r="G45" s="408">
        <f t="shared" ca="1" si="4"/>
        <v>98.916235741444893</v>
      </c>
      <c r="H45" s="404">
        <f t="shared" ca="1" si="5"/>
        <v>9.55070670146431E-4</v>
      </c>
      <c r="I45" s="404">
        <f t="shared" ca="1" si="6"/>
        <v>1.014883176761662E-3</v>
      </c>
      <c r="J45" s="404">
        <f t="shared" ca="1" si="7"/>
        <v>186.49990970626232</v>
      </c>
      <c r="K45" s="411">
        <f t="shared" ca="1" si="8"/>
        <v>176.18005057175569</v>
      </c>
      <c r="L45" s="414">
        <f t="shared" ca="1" si="9"/>
        <v>894.82558261543534</v>
      </c>
      <c r="M45" s="417">
        <f t="shared" ca="1" si="10"/>
        <v>12.641404855105209</v>
      </c>
    </row>
    <row r="46" spans="1:13" x14ac:dyDescent="0.3">
      <c r="B46" s="426">
        <f t="shared" ca="1" si="0"/>
        <v>29.5</v>
      </c>
      <c r="C46" s="404">
        <f t="shared" ca="1" si="1"/>
        <v>2.5118358624851131E-4</v>
      </c>
      <c r="D46" s="401">
        <f ca="1">MpropuPlein+0.75*MasseSans</f>
        <v>0.36824999999999997</v>
      </c>
      <c r="E46" s="401">
        <f t="shared" ca="1" si="2"/>
        <v>0.35274999999999995</v>
      </c>
      <c r="F46" s="401">
        <f t="shared" ca="1" si="3"/>
        <v>0.33724999999999994</v>
      </c>
      <c r="G46" s="408">
        <f t="shared" ca="1" si="4"/>
        <v>71.253075832742752</v>
      </c>
      <c r="H46" s="404">
        <f t="shared" ca="1" si="5"/>
        <v>7.1207253365984787E-4</v>
      </c>
      <c r="I46" s="404">
        <f t="shared" ca="1" si="6"/>
        <v>7.4479936619276902E-4</v>
      </c>
      <c r="J46" s="404">
        <f t="shared" ca="1" si="7"/>
        <v>137.93168365508771</v>
      </c>
      <c r="K46" s="411">
        <f t="shared" ca="1" si="8"/>
        <v>133.58884872075134</v>
      </c>
      <c r="L46" s="414">
        <f t="shared" ca="1" si="9"/>
        <v>712.92066029069804</v>
      </c>
      <c r="M46" s="417">
        <f t="shared" ca="1" si="10"/>
        <v>12.073261519091139</v>
      </c>
    </row>
    <row r="47" spans="1:13" x14ac:dyDescent="0.3">
      <c r="B47" s="426">
        <f t="shared" ca="1" si="0"/>
        <v>29.5</v>
      </c>
      <c r="C47" s="404">
        <f t="shared" ca="1" si="1"/>
        <v>2.5118358624851131E-4</v>
      </c>
      <c r="D47" s="401">
        <f ca="1">MpropuPlein+1*MasseSans</f>
        <v>0.45799999999999996</v>
      </c>
      <c r="E47" s="401">
        <f t="shared" ca="1" si="2"/>
        <v>0.44249999999999995</v>
      </c>
      <c r="F47" s="401">
        <f t="shared" ca="1" si="3"/>
        <v>0.42699999999999994</v>
      </c>
      <c r="G47" s="408">
        <f t="shared" ca="1" si="4"/>
        <v>54.811468926553687</v>
      </c>
      <c r="H47" s="404">
        <f t="shared" ca="1" si="5"/>
        <v>5.6764652259550582E-4</v>
      </c>
      <c r="I47" s="404">
        <f t="shared" ca="1" si="6"/>
        <v>5.8825195842742708E-4</v>
      </c>
      <c r="J47" s="404">
        <f t="shared" ca="1" si="7"/>
        <v>107.42182239408838</v>
      </c>
      <c r="K47" s="411">
        <f t="shared" ca="1" si="8"/>
        <v>105.29079517248688</v>
      </c>
      <c r="L47" s="414">
        <f t="shared" ca="1" si="9"/>
        <v>540.64642777737879</v>
      </c>
      <c r="M47" s="417">
        <f t="shared" ca="1" si="10"/>
        <v>11.004401759159517</v>
      </c>
    </row>
    <row r="48" spans="1:13" x14ac:dyDescent="0.3">
      <c r="B48" s="426">
        <f t="shared" ca="1" si="0"/>
        <v>29.5</v>
      </c>
      <c r="C48" s="404">
        <f t="shared" ca="1" si="1"/>
        <v>2.5118358624851131E-4</v>
      </c>
      <c r="D48" s="401">
        <f ca="1">MpropuPlein+1.25*MasseSans</f>
        <v>0.54774999999999996</v>
      </c>
      <c r="E48" s="401">
        <f t="shared" ca="1" si="2"/>
        <v>0.53225</v>
      </c>
      <c r="F48" s="401">
        <f t="shared" ca="1" si="3"/>
        <v>0.51674999999999993</v>
      </c>
      <c r="G48" s="408">
        <f t="shared" ca="1" si="4"/>
        <v>43.914753405354631</v>
      </c>
      <c r="H48" s="404">
        <f t="shared" ca="1" si="5"/>
        <v>4.7192782761580328E-4</v>
      </c>
      <c r="I48" s="404">
        <f t="shared" ca="1" si="6"/>
        <v>4.8608337929078151E-4</v>
      </c>
      <c r="J48" s="404">
        <f t="shared" ca="1" si="7"/>
        <v>86.642187752913387</v>
      </c>
      <c r="K48" s="411">
        <f t="shared" ca="1" si="8"/>
        <v>85.480396628852091</v>
      </c>
      <c r="L48" s="414">
        <f t="shared" ca="1" si="9"/>
        <v>404.48349671120542</v>
      </c>
      <c r="M48" s="417">
        <f t="shared" ca="1" si="10"/>
        <v>9.8442201890042043</v>
      </c>
    </row>
    <row r="49" spans="2:13" x14ac:dyDescent="0.3">
      <c r="B49" s="426">
        <f t="shared" ca="1" si="0"/>
        <v>29.5</v>
      </c>
      <c r="C49" s="404">
        <f t="shared" ca="1" si="1"/>
        <v>2.5118358624851131E-4</v>
      </c>
      <c r="D49" s="401">
        <f ca="1">MpropuPlein+1.5*MasseSans</f>
        <v>0.63749999999999996</v>
      </c>
      <c r="E49" s="401">
        <f t="shared" ca="1" si="2"/>
        <v>0.622</v>
      </c>
      <c r="F49" s="401">
        <f t="shared" ca="1" si="3"/>
        <v>0.60649999999999993</v>
      </c>
      <c r="G49" s="408">
        <f t="shared" ca="1" si="4"/>
        <v>36.162668810289389</v>
      </c>
      <c r="H49" s="404">
        <f t="shared" ca="1" si="5"/>
        <v>4.0383213223233328E-4</v>
      </c>
      <c r="I49" s="404">
        <f t="shared" ca="1" si="6"/>
        <v>4.1415265663398405E-4</v>
      </c>
      <c r="J49" s="404">
        <f t="shared" ca="1" si="7"/>
        <v>71.631972814326801</v>
      </c>
      <c r="K49" s="411">
        <f t="shared" ca="1" si="8"/>
        <v>70.949198348350762</v>
      </c>
      <c r="L49" s="414">
        <f t="shared" ca="1" si="9"/>
        <v>304.27015179809229</v>
      </c>
      <c r="M49" s="417">
        <f t="shared" ca="1" si="10"/>
        <v>8.7768179501798471</v>
      </c>
    </row>
    <row r="50" spans="2:13" x14ac:dyDescent="0.3">
      <c r="B50" s="426">
        <f t="shared" ca="1" si="0"/>
        <v>29.5</v>
      </c>
      <c r="C50" s="404">
        <f t="shared" ca="1" si="1"/>
        <v>2.5118358624851131E-4</v>
      </c>
      <c r="D50" s="401">
        <f ca="1">MpropuPlein+1.75*MasseSans</f>
        <v>0.72724999999999995</v>
      </c>
      <c r="E50" s="401">
        <f t="shared" ca="1" si="2"/>
        <v>0.71174999999999999</v>
      </c>
      <c r="F50" s="401">
        <f t="shared" ca="1" si="3"/>
        <v>0.69624999999999992</v>
      </c>
      <c r="G50" s="408">
        <f t="shared" ca="1" si="4"/>
        <v>30.365623463294696</v>
      </c>
      <c r="H50" s="404">
        <f t="shared" ca="1" si="5"/>
        <v>3.529098507179646E-4</v>
      </c>
      <c r="I50" s="404">
        <f t="shared" ca="1" si="6"/>
        <v>3.6076637163161415E-4</v>
      </c>
      <c r="J50" s="404">
        <f t="shared" ca="1" si="7"/>
        <v>60.302265522801612</v>
      </c>
      <c r="K50" s="411">
        <f t="shared" ca="1" si="8"/>
        <v>59.878117227218063</v>
      </c>
      <c r="L50" s="414">
        <f t="shared" ca="1" si="9"/>
        <v>231.96044525496217</v>
      </c>
      <c r="M50" s="417">
        <f t="shared" ca="1" si="10"/>
        <v>7.8549238546136371</v>
      </c>
    </row>
    <row r="51" spans="2:13" x14ac:dyDescent="0.3">
      <c r="B51" s="427">
        <f t="shared" ca="1" si="0"/>
        <v>29.5</v>
      </c>
      <c r="C51" s="405">
        <f t="shared" ca="1" si="1"/>
        <v>2.5118358624851131E-4</v>
      </c>
      <c r="D51" s="402">
        <f ca="1">MpropuPlein+2*MasseSans</f>
        <v>0.81699999999999995</v>
      </c>
      <c r="E51" s="402">
        <f t="shared" ca="1" si="2"/>
        <v>0.80149999999999999</v>
      </c>
      <c r="F51" s="402">
        <f t="shared" ca="1" si="3"/>
        <v>0.78599999999999992</v>
      </c>
      <c r="G51" s="409">
        <f t="shared" ca="1" si="4"/>
        <v>25.866855895196508</v>
      </c>
      <c r="H51" s="405">
        <f t="shared" ca="1" si="5"/>
        <v>3.133918730486729E-4</v>
      </c>
      <c r="I51" s="405">
        <f t="shared" ca="1" si="6"/>
        <v>3.195719926825844E-4</v>
      </c>
      <c r="J51" s="405">
        <f t="shared" ca="1" si="7"/>
        <v>51.456520854695668</v>
      </c>
      <c r="K51" s="412">
        <f t="shared" ca="1" si="8"/>
        <v>51.18170060524497</v>
      </c>
      <c r="L51" s="415">
        <f t="shared" ca="1" si="9"/>
        <v>179.57952162560684</v>
      </c>
      <c r="M51" s="418">
        <f t="shared" ca="1" si="10"/>
        <v>7.0760561942302118</v>
      </c>
    </row>
    <row r="52" spans="2:13" x14ac:dyDescent="0.3">
      <c r="B52" s="425">
        <f t="shared" ref="B52:B60" si="11">D_ref</f>
        <v>59</v>
      </c>
      <c r="C52" s="403">
        <f t="shared" si="1"/>
        <v>1.0047343449940452E-3</v>
      </c>
      <c r="D52" s="400">
        <f ca="1">MpropuPlein+0*MasseSans</f>
        <v>9.9000000000000005E-2</v>
      </c>
      <c r="E52" s="400">
        <f t="shared" ca="1" si="2"/>
        <v>8.3500000000000005E-2</v>
      </c>
      <c r="F52" s="400">
        <f t="shared" ca="1" si="3"/>
        <v>6.8000000000000005E-2</v>
      </c>
      <c r="G52" s="407">
        <f t="shared" ca="1" si="4"/>
        <v>332.64508982035926</v>
      </c>
      <c r="H52" s="403">
        <f t="shared" ca="1" si="5"/>
        <v>1.2032746646635272E-2</v>
      </c>
      <c r="I52" s="403">
        <f t="shared" ca="1" si="6"/>
        <v>1.4775505073441841E-2</v>
      </c>
      <c r="J52" s="403">
        <f t="shared" ca="1" si="7"/>
        <v>274.95835063363302</v>
      </c>
      <c r="K52" s="410">
        <f t="shared" ca="1" si="8"/>
        <v>166.15658574058946</v>
      </c>
      <c r="L52" s="413">
        <f t="shared" ca="1" si="9"/>
        <v>401.90624580808282</v>
      </c>
      <c r="M52" s="416">
        <f t="shared" ca="1" si="10"/>
        <v>5.721752110816567</v>
      </c>
    </row>
    <row r="53" spans="2:13" x14ac:dyDescent="0.3">
      <c r="B53" s="426">
        <f t="shared" si="11"/>
        <v>59</v>
      </c>
      <c r="C53" s="404">
        <f t="shared" si="1"/>
        <v>1.0047343449940452E-3</v>
      </c>
      <c r="D53" s="401">
        <f ca="1">MpropuPlein+0.25*MasseSans</f>
        <v>0.18875</v>
      </c>
      <c r="E53" s="401">
        <f t="shared" ca="1" si="2"/>
        <v>0.17325000000000002</v>
      </c>
      <c r="F53" s="401">
        <f t="shared" ca="1" si="3"/>
        <v>0.15775</v>
      </c>
      <c r="G53" s="408">
        <f t="shared" ca="1" si="4"/>
        <v>155.24050505050505</v>
      </c>
      <c r="H53" s="404">
        <f t="shared" ca="1" si="5"/>
        <v>5.7993324386380676E-3</v>
      </c>
      <c r="I53" s="404">
        <f t="shared" ca="1" si="6"/>
        <v>6.369155911214233E-3</v>
      </c>
      <c r="J53" s="404">
        <f t="shared" ca="1" si="7"/>
        <v>211.53343319050026</v>
      </c>
      <c r="K53" s="411">
        <f t="shared" ca="1" si="8"/>
        <v>156.41867737142613</v>
      </c>
      <c r="L53" s="414">
        <f t="shared" ca="1" si="9"/>
        <v>433.41777038497435</v>
      </c>
      <c r="M53" s="417">
        <f t="shared" ca="1" si="10"/>
        <v>7.3006617750637091</v>
      </c>
    </row>
    <row r="54" spans="2:13" x14ac:dyDescent="0.3">
      <c r="B54" s="426">
        <f t="shared" si="11"/>
        <v>59</v>
      </c>
      <c r="C54" s="404">
        <f t="shared" si="1"/>
        <v>1.0047343449940452E-3</v>
      </c>
      <c r="D54" s="401">
        <f ca="1">MpropuPlein+0.5*MasseSans</f>
        <v>0.27849999999999997</v>
      </c>
      <c r="E54" s="401">
        <f t="shared" ca="1" si="2"/>
        <v>0.26299999999999996</v>
      </c>
      <c r="F54" s="401">
        <f t="shared" ca="1" si="3"/>
        <v>0.24749999999999997</v>
      </c>
      <c r="G54" s="408">
        <f t="shared" ca="1" si="4"/>
        <v>98.916235741444893</v>
      </c>
      <c r="H54" s="404">
        <f t="shared" ca="1" si="5"/>
        <v>3.820282680585724E-3</v>
      </c>
      <c r="I54" s="404">
        <f t="shared" ca="1" si="6"/>
        <v>4.059532707046648E-3</v>
      </c>
      <c r="J54" s="404">
        <f t="shared" ca="1" si="7"/>
        <v>161.86545984761787</v>
      </c>
      <c r="K54" s="411">
        <f t="shared" ca="1" si="8"/>
        <v>135.55478302480168</v>
      </c>
      <c r="L54" s="414">
        <f t="shared" ca="1" si="9"/>
        <v>426.94723426057112</v>
      </c>
      <c r="M54" s="417">
        <f t="shared" ca="1" si="10"/>
        <v>8.1280013944666418</v>
      </c>
    </row>
    <row r="55" spans="2:13" x14ac:dyDescent="0.3">
      <c r="B55" s="426">
        <f t="shared" si="11"/>
        <v>59</v>
      </c>
      <c r="C55" s="404">
        <f t="shared" si="1"/>
        <v>1.0047343449940452E-3</v>
      </c>
      <c r="D55" s="401">
        <f ca="1">MpropuPlein+0.75*MasseSans</f>
        <v>0.36824999999999997</v>
      </c>
      <c r="E55" s="401">
        <f t="shared" ca="1" si="2"/>
        <v>0.35274999999999995</v>
      </c>
      <c r="F55" s="401">
        <f t="shared" ca="1" si="3"/>
        <v>0.33724999999999994</v>
      </c>
      <c r="G55" s="408">
        <f t="shared" ca="1" si="4"/>
        <v>71.253075832742752</v>
      </c>
      <c r="H55" s="404">
        <f t="shared" ca="1" si="5"/>
        <v>2.8482901346393915E-3</v>
      </c>
      <c r="I55" s="404">
        <f t="shared" ca="1" si="6"/>
        <v>2.9791974647710761E-3</v>
      </c>
      <c r="J55" s="404">
        <f t="shared" ca="1" si="7"/>
        <v>126.58319698813133</v>
      </c>
      <c r="K55" s="411">
        <f t="shared" ca="1" si="8"/>
        <v>113.36989112431765</v>
      </c>
      <c r="L55" s="414">
        <f t="shared" ca="1" si="9"/>
        <v>393.41631567729655</v>
      </c>
      <c r="M55" s="417">
        <f t="shared" ca="1" si="10"/>
        <v>8.4474719683883155</v>
      </c>
    </row>
    <row r="56" spans="2:13" x14ac:dyDescent="0.3">
      <c r="B56" s="426">
        <f t="shared" si="11"/>
        <v>59</v>
      </c>
      <c r="C56" s="404">
        <f t="shared" si="1"/>
        <v>1.0047343449940452E-3</v>
      </c>
      <c r="D56" s="401">
        <f ca="1">MpropuPlein+1*MasseSans</f>
        <v>0.45799999999999996</v>
      </c>
      <c r="E56" s="401">
        <f t="shared" ca="1" si="2"/>
        <v>0.44249999999999995</v>
      </c>
      <c r="F56" s="401">
        <f t="shared" ca="1" si="3"/>
        <v>0.42699999999999994</v>
      </c>
      <c r="G56" s="408">
        <f t="shared" ca="1" si="4"/>
        <v>54.811468926553687</v>
      </c>
      <c r="H56" s="404">
        <f t="shared" ca="1" si="5"/>
        <v>2.2705860903820233E-3</v>
      </c>
      <c r="I56" s="404">
        <f t="shared" ca="1" si="6"/>
        <v>2.3530078337097083E-3</v>
      </c>
      <c r="J56" s="404">
        <f t="shared" ca="1" si="7"/>
        <v>101.57775832304303</v>
      </c>
      <c r="K56" s="411">
        <f t="shared" ca="1" si="8"/>
        <v>94.447129597677943</v>
      </c>
      <c r="L56" s="414">
        <f t="shared" ca="1" si="9"/>
        <v>344.69091204512716</v>
      </c>
      <c r="M56" s="417">
        <f t="shared" ca="1" si="10"/>
        <v>8.3919029947632193</v>
      </c>
    </row>
    <row r="57" spans="2:13" x14ac:dyDescent="0.3">
      <c r="B57" s="426">
        <f t="shared" si="11"/>
        <v>59</v>
      </c>
      <c r="C57" s="404">
        <f t="shared" si="1"/>
        <v>1.0047343449940452E-3</v>
      </c>
      <c r="D57" s="401">
        <f ca="1">MpropuPlein+1.25*MasseSans</f>
        <v>0.54774999999999996</v>
      </c>
      <c r="E57" s="401">
        <f t="shared" ca="1" si="2"/>
        <v>0.53225</v>
      </c>
      <c r="F57" s="401">
        <f t="shared" ca="1" si="3"/>
        <v>0.51674999999999993</v>
      </c>
      <c r="G57" s="408">
        <f t="shared" ca="1" si="4"/>
        <v>43.914753405354631</v>
      </c>
      <c r="H57" s="404">
        <f t="shared" ca="1" si="5"/>
        <v>1.8877113104632131E-3</v>
      </c>
      <c r="I57" s="404">
        <f t="shared" ca="1" si="6"/>
        <v>1.944333517163126E-3</v>
      </c>
      <c r="J57" s="404">
        <f t="shared" ca="1" si="7"/>
        <v>83.365740554294661</v>
      </c>
      <c r="K57" s="411">
        <f t="shared" ca="1" si="8"/>
        <v>79.256889125070373</v>
      </c>
      <c r="L57" s="414">
        <f t="shared" ca="1" si="9"/>
        <v>291.33257027217587</v>
      </c>
      <c r="M57" s="417">
        <f t="shared" ca="1" si="10"/>
        <v>8.0827353954416061</v>
      </c>
    </row>
    <row r="58" spans="2:13" x14ac:dyDescent="0.3">
      <c r="B58" s="426">
        <f t="shared" si="11"/>
        <v>59</v>
      </c>
      <c r="C58" s="404">
        <f t="shared" si="1"/>
        <v>1.0047343449940452E-3</v>
      </c>
      <c r="D58" s="401">
        <f ca="1">MpropuPlein+1.5*MasseSans</f>
        <v>0.63749999999999996</v>
      </c>
      <c r="E58" s="401">
        <f t="shared" ca="1" si="2"/>
        <v>0.622</v>
      </c>
      <c r="F58" s="401">
        <f t="shared" ca="1" si="3"/>
        <v>0.60649999999999993</v>
      </c>
      <c r="G58" s="408">
        <f t="shared" ca="1" si="4"/>
        <v>36.162668810289389</v>
      </c>
      <c r="H58" s="404">
        <f t="shared" ca="1" si="5"/>
        <v>1.6153285289293331E-3</v>
      </c>
      <c r="I58" s="404">
        <f t="shared" ca="1" si="6"/>
        <v>1.6566106265359362E-3</v>
      </c>
      <c r="J58" s="404">
        <f t="shared" ca="1" si="7"/>
        <v>69.672690725169957</v>
      </c>
      <c r="K58" s="411">
        <f t="shared" ca="1" si="8"/>
        <v>67.173203081703207</v>
      </c>
      <c r="L58" s="414">
        <f t="shared" ca="1" si="9"/>
        <v>240.63566360049782</v>
      </c>
      <c r="M58" s="417">
        <f t="shared" ca="1" si="10"/>
        <v>7.6294577562715293</v>
      </c>
    </row>
    <row r="59" spans="2:13" x14ac:dyDescent="0.3">
      <c r="B59" s="426">
        <f t="shared" si="11"/>
        <v>59</v>
      </c>
      <c r="C59" s="404">
        <f t="shared" si="1"/>
        <v>1.0047343449940452E-3</v>
      </c>
      <c r="D59" s="401">
        <f ca="1">MpropuPlein+1.75*MasseSans</f>
        <v>0.72724999999999995</v>
      </c>
      <c r="E59" s="401">
        <f t="shared" ca="1" si="2"/>
        <v>0.71174999999999999</v>
      </c>
      <c r="F59" s="401">
        <f t="shared" ca="1" si="3"/>
        <v>0.69624999999999992</v>
      </c>
      <c r="G59" s="408">
        <f t="shared" ca="1" si="4"/>
        <v>30.365623463294696</v>
      </c>
      <c r="H59" s="404">
        <f t="shared" ca="1" si="5"/>
        <v>1.4116394028718584E-3</v>
      </c>
      <c r="I59" s="404">
        <f t="shared" ca="1" si="6"/>
        <v>1.4430654865264566E-3</v>
      </c>
      <c r="J59" s="404">
        <f t="shared" ca="1" si="7"/>
        <v>59.071177106899199</v>
      </c>
      <c r="K59" s="411">
        <f t="shared" ca="1" si="8"/>
        <v>57.482838506296602</v>
      </c>
      <c r="L59" s="414">
        <f t="shared" ca="1" si="9"/>
        <v>196.32447845231499</v>
      </c>
      <c r="M59" s="417">
        <f t="shared" ca="1" si="10"/>
        <v>7.1170599716527496</v>
      </c>
    </row>
    <row r="60" spans="2:13" x14ac:dyDescent="0.3">
      <c r="B60" s="427">
        <f t="shared" si="11"/>
        <v>59</v>
      </c>
      <c r="C60" s="405">
        <f t="shared" si="1"/>
        <v>1.0047343449940452E-3</v>
      </c>
      <c r="D60" s="402">
        <f ca="1">MpropuPlein+2*MasseSans</f>
        <v>0.81699999999999995</v>
      </c>
      <c r="E60" s="402">
        <f t="shared" ca="1" si="2"/>
        <v>0.80149999999999999</v>
      </c>
      <c r="F60" s="402">
        <f t="shared" ca="1" si="3"/>
        <v>0.78599999999999992</v>
      </c>
      <c r="G60" s="409">
        <f t="shared" ca="1" si="4"/>
        <v>25.866855895196508</v>
      </c>
      <c r="H60" s="405">
        <f t="shared" ca="1" si="5"/>
        <v>1.2535674921946916E-3</v>
      </c>
      <c r="I60" s="405">
        <f t="shared" ca="1" si="6"/>
        <v>1.2782879707303376E-3</v>
      </c>
      <c r="J60" s="405">
        <f t="shared" ca="1" si="7"/>
        <v>50.652591072259703</v>
      </c>
      <c r="K60" s="412">
        <f t="shared" ca="1" si="8"/>
        <v>49.607286463339463</v>
      </c>
      <c r="L60" s="415">
        <f t="shared" ca="1" si="9"/>
        <v>159.44454109352188</v>
      </c>
      <c r="M60" s="418">
        <f t="shared" ca="1" si="10"/>
        <v>6.6011831649962405</v>
      </c>
    </row>
    <row r="61" spans="2:13" x14ac:dyDescent="0.3">
      <c r="B61" s="425">
        <f t="shared" ref="B61:B69" si="12">D_ref*1.5</f>
        <v>88.5</v>
      </c>
      <c r="C61" s="403">
        <f t="shared" si="1"/>
        <v>2.2606522762366014E-3</v>
      </c>
      <c r="D61" s="400">
        <f ca="1">MpropuPlein+0*MasseSans</f>
        <v>9.9000000000000005E-2</v>
      </c>
      <c r="E61" s="400">
        <f t="shared" ca="1" si="2"/>
        <v>8.3500000000000005E-2</v>
      </c>
      <c r="F61" s="400">
        <f t="shared" ca="1" si="3"/>
        <v>6.8000000000000005E-2</v>
      </c>
      <c r="G61" s="407">
        <f t="shared" ca="1" si="4"/>
        <v>332.64508982035926</v>
      </c>
      <c r="H61" s="403">
        <f t="shared" ca="1" si="5"/>
        <v>2.7073679954929358E-2</v>
      </c>
      <c r="I61" s="403">
        <f t="shared" ca="1" si="6"/>
        <v>3.3244886415244139E-2</v>
      </c>
      <c r="J61" s="403">
        <f t="shared" ca="1" si="7"/>
        <v>196.08838509973006</v>
      </c>
      <c r="K61" s="410">
        <f t="shared" ca="1" si="8"/>
        <v>110.84384886119763</v>
      </c>
      <c r="L61" s="413">
        <f t="shared" ca="1" si="9"/>
        <v>252.52896814845553</v>
      </c>
      <c r="M61" s="416">
        <f t="shared" ca="1" si="10"/>
        <v>4.4813422165491339</v>
      </c>
    </row>
    <row r="62" spans="2:13" x14ac:dyDescent="0.3">
      <c r="B62" s="426">
        <f t="shared" si="12"/>
        <v>88.5</v>
      </c>
      <c r="C62" s="404">
        <f t="shared" si="1"/>
        <v>2.2606522762366014E-3</v>
      </c>
      <c r="D62" s="401">
        <f ca="1">MpropuPlein+0.25*MasseSans</f>
        <v>0.18875</v>
      </c>
      <c r="E62" s="401">
        <f t="shared" ca="1" si="2"/>
        <v>0.17325000000000002</v>
      </c>
      <c r="F62" s="401">
        <f t="shared" ca="1" si="3"/>
        <v>0.15775</v>
      </c>
      <c r="G62" s="408">
        <f t="shared" ca="1" si="4"/>
        <v>155.24050505050505</v>
      </c>
      <c r="H62" s="404">
        <f t="shared" ca="1" si="5"/>
        <v>1.3048497986935649E-2</v>
      </c>
      <c r="I62" s="404">
        <f t="shared" ca="1" si="6"/>
        <v>1.4330600800232022E-2</v>
      </c>
      <c r="J62" s="404">
        <f t="shared" ca="1" si="7"/>
        <v>165.28546001233053</v>
      </c>
      <c r="K62" s="411">
        <f t="shared" ca="1" si="8"/>
        <v>108.34169557882109</v>
      </c>
      <c r="L62" s="414">
        <f t="shared" ca="1" si="9"/>
        <v>266.41527421712573</v>
      </c>
      <c r="M62" s="417">
        <f t="shared" ca="1" si="10"/>
        <v>5.5574328820965615</v>
      </c>
    </row>
    <row r="63" spans="2:13" x14ac:dyDescent="0.3">
      <c r="B63" s="426">
        <f t="shared" si="12"/>
        <v>88.5</v>
      </c>
      <c r="C63" s="404">
        <f t="shared" si="1"/>
        <v>2.2606522762366014E-3</v>
      </c>
      <c r="D63" s="401">
        <f ca="1">MpropuPlein+0.5*MasseSans</f>
        <v>0.27849999999999997</v>
      </c>
      <c r="E63" s="401">
        <f t="shared" ca="1" si="2"/>
        <v>0.26299999999999996</v>
      </c>
      <c r="F63" s="401">
        <f t="shared" ca="1" si="3"/>
        <v>0.24749999999999997</v>
      </c>
      <c r="G63" s="408">
        <f t="shared" ca="1" si="4"/>
        <v>98.916235741444893</v>
      </c>
      <c r="H63" s="404">
        <f t="shared" ca="1" si="5"/>
        <v>8.5956360313178774E-3</v>
      </c>
      <c r="I63" s="404">
        <f t="shared" ca="1" si="6"/>
        <v>9.1339485908549563E-3</v>
      </c>
      <c r="J63" s="404">
        <f t="shared" ca="1" si="7"/>
        <v>136.78290112654497</v>
      </c>
      <c r="K63" s="411">
        <f t="shared" ca="1" si="8"/>
        <v>102.03851920289142</v>
      </c>
      <c r="L63" s="414">
        <f t="shared" ca="1" si="9"/>
        <v>266.50302039966039</v>
      </c>
      <c r="M63" s="417">
        <f t="shared" ca="1" si="10"/>
        <v>6.2093644109135342</v>
      </c>
    </row>
    <row r="64" spans="2:13" x14ac:dyDescent="0.3">
      <c r="B64" s="426">
        <f t="shared" si="12"/>
        <v>88.5</v>
      </c>
      <c r="C64" s="404">
        <f t="shared" si="1"/>
        <v>2.2606522762366014E-3</v>
      </c>
      <c r="D64" s="401">
        <f ca="1">MpropuPlein+0.75*MasseSans</f>
        <v>0.36824999999999997</v>
      </c>
      <c r="E64" s="401">
        <f t="shared" ca="1" si="2"/>
        <v>0.35274999999999995</v>
      </c>
      <c r="F64" s="401">
        <f t="shared" ca="1" si="3"/>
        <v>0.33724999999999994</v>
      </c>
      <c r="G64" s="408">
        <f t="shared" ca="1" si="4"/>
        <v>71.253075832742752</v>
      </c>
      <c r="H64" s="404">
        <f t="shared" ca="1" si="5"/>
        <v>6.4086528029386304E-3</v>
      </c>
      <c r="I64" s="404">
        <f t="shared" ca="1" si="6"/>
        <v>6.7031942957349201E-3</v>
      </c>
      <c r="J64" s="404">
        <f t="shared" ca="1" si="7"/>
        <v>112.84826466723088</v>
      </c>
      <c r="K64" s="411">
        <f t="shared" ca="1" si="8"/>
        <v>92.200161036183943</v>
      </c>
      <c r="L64" s="414">
        <f t="shared" ca="1" si="9"/>
        <v>255.92898452211006</v>
      </c>
      <c r="M64" s="417">
        <f t="shared" ca="1" si="10"/>
        <v>6.5918129017436806</v>
      </c>
    </row>
    <row r="65" spans="2:13" x14ac:dyDescent="0.3">
      <c r="B65" s="426">
        <f t="shared" si="12"/>
        <v>88.5</v>
      </c>
      <c r="C65" s="404">
        <f t="shared" si="1"/>
        <v>2.2606522762366014E-3</v>
      </c>
      <c r="D65" s="401">
        <f ca="1">MpropuPlein+1*MasseSans</f>
        <v>0.45799999999999996</v>
      </c>
      <c r="E65" s="401">
        <f t="shared" ca="1" si="2"/>
        <v>0.44249999999999995</v>
      </c>
      <c r="F65" s="401">
        <f t="shared" ca="1" si="3"/>
        <v>0.42699999999999994</v>
      </c>
      <c r="G65" s="408">
        <f t="shared" ca="1" si="4"/>
        <v>54.811468926553687</v>
      </c>
      <c r="H65" s="404">
        <f t="shared" ca="1" si="5"/>
        <v>5.1088187033595522E-3</v>
      </c>
      <c r="I65" s="404">
        <f t="shared" ca="1" si="6"/>
        <v>5.2942676258468423E-3</v>
      </c>
      <c r="J65" s="404">
        <f t="shared" ca="1" si="7"/>
        <v>93.741339195678805</v>
      </c>
      <c r="K65" s="411">
        <f t="shared" ca="1" si="8"/>
        <v>81.313160514164409</v>
      </c>
      <c r="L65" s="414">
        <f t="shared" ca="1" si="9"/>
        <v>237.21124183151056</v>
      </c>
      <c r="M65" s="417">
        <f t="shared" ca="1" si="10"/>
        <v>6.7561914571227861</v>
      </c>
    </row>
    <row r="66" spans="2:13" x14ac:dyDescent="0.3">
      <c r="B66" s="426">
        <f t="shared" si="12"/>
        <v>88.5</v>
      </c>
      <c r="C66" s="404">
        <f t="shared" si="1"/>
        <v>2.2606522762366014E-3</v>
      </c>
      <c r="D66" s="401">
        <f ca="1">MpropuPlein+1.25*MasseSans</f>
        <v>0.54774999999999996</v>
      </c>
      <c r="E66" s="401">
        <f t="shared" ca="1" si="2"/>
        <v>0.53225</v>
      </c>
      <c r="F66" s="401">
        <f t="shared" ca="1" si="3"/>
        <v>0.51674999999999993</v>
      </c>
      <c r="G66" s="408">
        <f t="shared" ca="1" si="4"/>
        <v>43.914753405354631</v>
      </c>
      <c r="H66" s="404">
        <f t="shared" ca="1" si="5"/>
        <v>4.247350448542229E-3</v>
      </c>
      <c r="I66" s="404">
        <f t="shared" ca="1" si="6"/>
        <v>4.3747504136170332E-3</v>
      </c>
      <c r="J66" s="404">
        <f t="shared" ca="1" si="7"/>
        <v>78.684052803265914</v>
      </c>
      <c r="K66" s="411">
        <f t="shared" ca="1" si="8"/>
        <v>70.993805497560956</v>
      </c>
      <c r="L66" s="414">
        <f t="shared" ca="1" si="9"/>
        <v>213.31185686301302</v>
      </c>
      <c r="M66" s="417">
        <f t="shared" ca="1" si="10"/>
        <v>6.7428983837562351</v>
      </c>
    </row>
    <row r="67" spans="2:13" x14ac:dyDescent="0.3">
      <c r="B67" s="426">
        <f t="shared" si="12"/>
        <v>88.5</v>
      </c>
      <c r="C67" s="404">
        <f t="shared" si="1"/>
        <v>2.2606522762366014E-3</v>
      </c>
      <c r="D67" s="401">
        <f ca="1">MpropuPlein+1.5*MasseSans</f>
        <v>0.63749999999999996</v>
      </c>
      <c r="E67" s="401">
        <f t="shared" ca="1" si="2"/>
        <v>0.622</v>
      </c>
      <c r="F67" s="401">
        <f t="shared" ca="1" si="3"/>
        <v>0.60649999999999993</v>
      </c>
      <c r="G67" s="408">
        <f t="shared" ca="1" si="4"/>
        <v>36.162668810289389</v>
      </c>
      <c r="H67" s="404">
        <f t="shared" ca="1" si="5"/>
        <v>3.6344891900909992E-3</v>
      </c>
      <c r="I67" s="404">
        <f t="shared" ca="1" si="6"/>
        <v>3.7273739097058562E-3</v>
      </c>
      <c r="J67" s="404">
        <f t="shared" ca="1" si="7"/>
        <v>66.755252138465607</v>
      </c>
      <c r="K67" s="411">
        <f t="shared" ca="1" si="8"/>
        <v>61.848568886047204</v>
      </c>
      <c r="L67" s="414">
        <f t="shared" ca="1" si="9"/>
        <v>187.14643084272046</v>
      </c>
      <c r="M67" s="417">
        <f t="shared" ca="1" si="10"/>
        <v>6.5933163282302072</v>
      </c>
    </row>
    <row r="68" spans="2:13" x14ac:dyDescent="0.3">
      <c r="B68" s="426">
        <f t="shared" si="12"/>
        <v>88.5</v>
      </c>
      <c r="C68" s="404">
        <f t="shared" si="1"/>
        <v>2.2606522762366014E-3</v>
      </c>
      <c r="D68" s="401">
        <f ca="1">MpropuPlein+1.75*MasseSans</f>
        <v>0.72724999999999995</v>
      </c>
      <c r="E68" s="401">
        <f t="shared" ca="1" si="2"/>
        <v>0.71174999999999999</v>
      </c>
      <c r="F68" s="401">
        <f t="shared" ca="1" si="3"/>
        <v>0.69624999999999992</v>
      </c>
      <c r="G68" s="408">
        <f t="shared" ca="1" si="4"/>
        <v>30.365623463294696</v>
      </c>
      <c r="H68" s="404">
        <f t="shared" ca="1" si="5"/>
        <v>3.1761886564616809E-3</v>
      </c>
      <c r="I68" s="404">
        <f t="shared" ca="1" si="6"/>
        <v>3.2468973446845265E-3</v>
      </c>
      <c r="J68" s="404">
        <f t="shared" ca="1" si="7"/>
        <v>57.186234577999109</v>
      </c>
      <c r="K68" s="411">
        <f t="shared" ca="1" si="8"/>
        <v>53.963876954436166</v>
      </c>
      <c r="L68" s="414">
        <f t="shared" ca="1" si="9"/>
        <v>161.11664506614886</v>
      </c>
      <c r="M68" s="417">
        <f t="shared" ca="1" si="10"/>
        <v>6.3491082123900444</v>
      </c>
    </row>
    <row r="69" spans="2:13" x14ac:dyDescent="0.3">
      <c r="B69" s="427">
        <f t="shared" si="12"/>
        <v>88.5</v>
      </c>
      <c r="C69" s="405">
        <f t="shared" si="1"/>
        <v>2.2606522762366014E-3</v>
      </c>
      <c r="D69" s="402">
        <f ca="1">MpropuPlein+2*MasseSans</f>
        <v>0.81699999999999995</v>
      </c>
      <c r="E69" s="402">
        <f t="shared" ca="1" si="2"/>
        <v>0.80149999999999999</v>
      </c>
      <c r="F69" s="402">
        <f t="shared" ca="1" si="3"/>
        <v>0.78599999999999992</v>
      </c>
      <c r="G69" s="409">
        <f t="shared" ca="1" si="4"/>
        <v>25.866855895196508</v>
      </c>
      <c r="H69" s="405">
        <f t="shared" ca="1" si="5"/>
        <v>2.8205268574380553E-3</v>
      </c>
      <c r="I69" s="405">
        <f t="shared" ca="1" si="6"/>
        <v>2.8761479341432592E-3</v>
      </c>
      <c r="J69" s="405">
        <f t="shared" ca="1" si="7"/>
        <v>49.397414461641468</v>
      </c>
      <c r="K69" s="412">
        <f t="shared" ca="1" si="8"/>
        <v>47.226591270468298</v>
      </c>
      <c r="L69" s="415">
        <f t="shared" ca="1" si="9"/>
        <v>136.86507209859735</v>
      </c>
      <c r="M69" s="418">
        <f t="shared" ca="1" si="10"/>
        <v>6.0482034665383564</v>
      </c>
    </row>
    <row r="73" spans="2:13" x14ac:dyDescent="0.3">
      <c r="B73" s="24" t="str">
        <f>IF(Lang="Français","Textes pour les graphiques :","Texts for graphics :")</f>
        <v>Textes pour les graphiques :</v>
      </c>
    </row>
    <row r="75" spans="2:13" x14ac:dyDescent="0.3">
      <c r="B75" t="str">
        <f>IF(Lang="Français","Masse totale",IF(Lang="English","Total Mass",""))</f>
        <v>Masse totale</v>
      </c>
    </row>
    <row r="76" spans="2:13" x14ac:dyDescent="0.3">
      <c r="B76" t="str">
        <f>IF(Lang="Français","Vitesse max",IF(Lang="English","Max Velocity",""))</f>
        <v>Vitesse max</v>
      </c>
    </row>
    <row r="77" spans="2:13" x14ac:dyDescent="0.3">
      <c r="B77" t="str">
        <f>Abaco!$B$76 &amp; " / " &amp; Abaco!$B$75</f>
        <v>Vitesse max / Masse totale</v>
      </c>
    </row>
    <row r="78" spans="2:13" x14ac:dyDescent="0.3">
      <c r="B78" t="str">
        <f>IF(Lang="Français","Altitude max",IF(Lang="English","Max Altitude",""))</f>
        <v>Altitude max</v>
      </c>
    </row>
    <row r="79" spans="2:13" x14ac:dyDescent="0.3">
      <c r="B79" t="str">
        <f>Abaco!$B$78 &amp; " / " &amp; Abaco!$B$75</f>
        <v>Altitude max / Masse totale</v>
      </c>
    </row>
    <row r="80" spans="2:13" x14ac:dyDescent="0.3">
      <c r="B80" t="str">
        <f>IF(Lang="Français","Temps de culmination",IF(Lang="English","Apogee time",""))</f>
        <v>Temps de culmination</v>
      </c>
    </row>
    <row r="81" spans="2:2" x14ac:dyDescent="0.3">
      <c r="B81" t="str">
        <f>Abaco!$B$80 &amp; " / " &amp; Abaco!$B$75</f>
        <v>Temps de culmination / Masse totale</v>
      </c>
    </row>
  </sheetData>
  <sheetProtection algorithmName="SHA-512" hashValue="+PTrTvch0rD/oo5wbJAiLSXEwsZuHYCw11E5jJpN7UFv8bqEgAVA+seu72dez5dZDB7fUdwejfBNAFZdr7g5pg==" saltValue="gnM8LKYZzdY29Fufgy5vJQ==" spinCount="100000" sheet="1"/>
  <mergeCells count="13">
    <mergeCell ref="C11:D11"/>
    <mergeCell ref="C13:D13"/>
    <mergeCell ref="C15:D15"/>
    <mergeCell ref="C16:D16"/>
    <mergeCell ref="C17:D17"/>
    <mergeCell ref="C12:D12"/>
    <mergeCell ref="C10:D10"/>
    <mergeCell ref="C9:D9"/>
    <mergeCell ref="C2:D3"/>
    <mergeCell ref="C4:D4"/>
    <mergeCell ref="C5:D5"/>
    <mergeCell ref="C7:D7"/>
    <mergeCell ref="C8:D8"/>
  </mergeCells>
  <dataValidations count="3">
    <dataValidation type="decimal" errorStyle="warning" showErrorMessage="1" errorTitle="Cx" error="Le Cx est souvent compris entre 0 et 1._x000a_Cx may be between 0 &amp; 1." sqref="C17:D17" xr:uid="{00000000-0002-0000-0500-000000000000}">
      <formula1>0</formula1>
      <formula2>1</formula2>
    </dataValidation>
    <dataValidation operator="greaterThanOrEqual" sqref="C11:D12" xr:uid="{00000000-0002-0000-0500-000001000000}"/>
    <dataValidation sqref="C13:D13" xr:uid="{00000000-0002-0000-0500-000002000000}"/>
  </dataValidations>
  <hyperlinks>
    <hyperlink ref="B13" location="Stabilito!C17" display="Stabilito!C17" xr:uid="{00000000-0004-0000-0500-000000000000}"/>
  </hyperlinks>
  <pageMargins left="0.70866141732283472" right="0.70866141732283472" top="0.74803149606299213" bottom="0.74803149606299213" header="0.31496062992125984" footer="0.31496062992125984"/>
  <pageSetup paperSize="9" scale="92" orientation="landscape" r:id="rId1"/>
  <drawing r:id="rId2"/>
  <legacyDrawing r:id="rId3"/>
  <oleObjects>
    <mc:AlternateContent xmlns:mc="http://schemas.openxmlformats.org/markup-compatibility/2006">
      <mc:Choice Requires="x14">
        <oleObject progId="Equation.3" shapeId="2604101" r:id="rId4">
          <objectPr defaultSize="0" autoPict="0" r:id="rId5">
            <anchor moveWithCells="1">
              <from>
                <xdr:col>8</xdr:col>
                <xdr:colOff>386443</xdr:colOff>
                <xdr:row>70</xdr:row>
                <xdr:rowOff>27214</xdr:rowOff>
              </from>
              <to>
                <xdr:col>12</xdr:col>
                <xdr:colOff>903514</xdr:colOff>
                <xdr:row>87</xdr:row>
                <xdr:rowOff>10886</xdr:rowOff>
              </to>
            </anchor>
          </objectPr>
        </oleObject>
      </mc:Choice>
      <mc:Fallback>
        <oleObject progId="Equation.3" shapeId="2604101" r:id="rId4"/>
      </mc:Fallback>
    </mc:AlternateContent>
  </oleObjects>
  <mc:AlternateContent xmlns:mc="http://schemas.openxmlformats.org/markup-compatibility/2006">
    <mc:Choice Requires="x14">
      <controls>
        <mc:AlternateContent xmlns:mc="http://schemas.openxmlformats.org/markup-compatibility/2006">
          <mc:Choice Requires="x14">
            <control shapeId="2604063" r:id="rId6" name="Spinner 31">
              <controlPr defaultSize="0" print="0" autoPict="0">
                <anchor moveWithCells="1" sizeWithCells="1">
                  <from>
                    <xdr:col>3</xdr:col>
                    <xdr:colOff>653143</xdr:colOff>
                    <xdr:row>9</xdr:row>
                    <xdr:rowOff>195943</xdr:rowOff>
                  </from>
                  <to>
                    <xdr:col>4</xdr:col>
                    <xdr:colOff>0</xdr:colOff>
                    <xdr:row>11</xdr:row>
                    <xdr:rowOff>0</xdr:rowOff>
                  </to>
                </anchor>
              </controlPr>
            </control>
          </mc:Choice>
        </mc:AlternateContent>
        <mc:AlternateContent xmlns:mc="http://schemas.openxmlformats.org/markup-compatibility/2006">
          <mc:Choice Requires="x14">
            <control shapeId="2604202" r:id="rId7" name="Spinner 170">
              <controlPr defaultSize="0" print="0" autoPict="0">
                <anchor moveWithCells="1" sizeWithCells="1">
                  <from>
                    <xdr:col>3</xdr:col>
                    <xdr:colOff>653143</xdr:colOff>
                    <xdr:row>11</xdr:row>
                    <xdr:rowOff>0</xdr:rowOff>
                  </from>
                  <to>
                    <xdr:col>4</xdr:col>
                    <xdr:colOff>0</xdr:colOff>
                    <xdr:row>12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pageSetUpPr fitToPage="1"/>
  </sheetPr>
  <dimension ref="C2:H61"/>
  <sheetViews>
    <sheetView showGridLines="0" topLeftCell="A31" workbookViewId="0">
      <selection activeCell="G46" sqref="G46"/>
    </sheetView>
  </sheetViews>
  <sheetFormatPr baseColWidth="10" defaultRowHeight="12.45" x14ac:dyDescent="0.3"/>
  <cols>
    <col min="1" max="1" width="2.15234375" customWidth="1"/>
    <col min="2" max="2" width="16.15234375" customWidth="1"/>
    <col min="3" max="4" width="13.61328125" customWidth="1"/>
  </cols>
  <sheetData>
    <row r="2" spans="3:8" x14ac:dyDescent="0.3">
      <c r="C2" s="632" t="s">
        <v>180</v>
      </c>
      <c r="D2" s="632"/>
    </row>
    <row r="3" spans="3:8" x14ac:dyDescent="0.3">
      <c r="C3" s="632"/>
      <c r="D3" s="632"/>
    </row>
    <row r="5" spans="3:8" x14ac:dyDescent="0.3">
      <c r="C5" s="13" t="str">
        <f>IF(Lang="Français","Stabilité de fusée à ailerons","Stability of finned rocket")</f>
        <v>Stabilité de fusée à ailerons</v>
      </c>
    </row>
    <row r="6" spans="3:8" x14ac:dyDescent="0.3">
      <c r="C6" s="2" t="str">
        <f>IF(Lang="Français","Calculs de Stabilité basés sur les équations de Barrowman","Stability calculs are based on Barrowman equations")</f>
        <v>Calculs de Stabilité basés sur les équations de Barrowman</v>
      </c>
    </row>
    <row r="7" spans="3:8" x14ac:dyDescent="0.3">
      <c r="C7" s="13" t="str">
        <f>IF(Lang="Français","Trajectographie de fusée","Rocket Trajectography")</f>
        <v>Trajectographie de fusée</v>
      </c>
    </row>
    <row r="8" spans="3:8" x14ac:dyDescent="0.3">
      <c r="C8" s="2" t="str">
        <f>IF(Lang="Français","Trajectoire dans un plan par calcul pas à pas","Trajectory in a plane, step by step computation")</f>
        <v>Trajectoire dans un plan par calcul pas à pas</v>
      </c>
    </row>
    <row r="9" spans="3:8" x14ac:dyDescent="0.3">
      <c r="C9" s="2"/>
    </row>
    <row r="10" spans="3:8" x14ac:dyDescent="0.3">
      <c r="C10" s="14" t="str">
        <f>IF(Lang="Français","Documentation et équations :","Documentation and equations are aviable in french:")</f>
        <v>Documentation et équations :</v>
      </c>
    </row>
    <row r="11" spans="3:8" x14ac:dyDescent="0.3">
      <c r="C11" t="str">
        <f>IF(Lang="Français","voir le dossier technique Planète-Sciences ''Le Vol de la Fusée, Stabilité &amp; Trajectographie''","dossier technique Planète-Sciences ''Le Vol de la Fusée, Stabilité &amp; Trajectographie''")</f>
        <v>voir le dossier technique Planète-Sciences ''Le Vol de la Fusée, Stabilité &amp; Trajectographie''</v>
      </c>
    </row>
    <row r="12" spans="3:8" x14ac:dyDescent="0.3">
      <c r="C12" t="str">
        <f>IF(Lang="Français","Néanmoins, les équations d'intégration du mouvement utilisées sont légèrement différentes !","")</f>
        <v>Néanmoins, les équations d'intégration du mouvement utilisées sont légèrement différentes !</v>
      </c>
    </row>
    <row r="13" spans="3:8" x14ac:dyDescent="0.3">
      <c r="C13" t="str">
        <f>IF(Lang="Français","Logiciels et dossier technique téléchargeables sur :","Softwares and french documentation can be downloaded at:")</f>
        <v>Logiciels et dossier technique téléchargeables sur :</v>
      </c>
      <c r="H13" s="15" t="s">
        <v>39</v>
      </c>
    </row>
    <row r="15" spans="3:8" x14ac:dyDescent="0.3">
      <c r="C15" s="14" t="str">
        <f>IF(Lang="Français","Pour les experts :","For experts:")</f>
        <v>Pour les experts :</v>
      </c>
    </row>
    <row r="16" spans="3:8" x14ac:dyDescent="0.3">
      <c r="C16" t="str">
        <f>IF(Lang="Français","Pour les curieux et les experts, vous pouvez déprotéger les feuilles de calcul (mot de passe : anstj),","Curious people can unlock excel sheets with this password : anstj")</f>
        <v>Pour les curieux et les experts, vous pouvez déprotéger les feuilles de calcul (mot de passe : anstj),</v>
      </c>
    </row>
    <row r="17" spans="3:8" x14ac:dyDescent="0.3">
      <c r="C17" t="str">
        <f>IF(Lang="Français","et faire vos modifications personnelles (ajout de moteur...).","and do your personal modification (adding a motor...)")</f>
        <v>et faire vos modifications personnelles (ajout de moteur...).</v>
      </c>
    </row>
    <row r="18" spans="3:8" x14ac:dyDescent="0.3">
      <c r="C18" t="s">
        <v>421</v>
      </c>
    </row>
    <row r="19" spans="3:8" x14ac:dyDescent="0.3">
      <c r="C19" t="str">
        <f>IF(Lang="Français","Merci néanmoins de diffuser uniquement la version officielle protégée (fichier initial).","Please avoid distributing unlocked version.")</f>
        <v>Merci néanmoins de diffuser uniquement la version officielle protégée (fichier initial).</v>
      </c>
    </row>
    <row r="20" spans="3:8" x14ac:dyDescent="0.3">
      <c r="C20" t="str">
        <f>IF(Lang="Français","Aucune Macro. Mise en forme conditionnelle, Noms de zone.","No macro. Conditionnal formating, named zones.")</f>
        <v>Aucune Macro. Mise en forme conditionnelle, Noms de zone.</v>
      </c>
    </row>
    <row r="21" spans="3:8" x14ac:dyDescent="0.3">
      <c r="C21" s="48" t="str">
        <f>IF(Lang="Français","Pour changer les choix des menus déroulants et les restrictions des cellules jaunes, cf. Données&gt; Validations…", "To change choices menu &amp; yellow cells restrictions, go to data validation.")</f>
        <v>Pour changer les choix des menus déroulants et les restrictions des cellules jaunes, cf. Données&gt; Validations…</v>
      </c>
    </row>
    <row r="22" spans="3:8" x14ac:dyDescent="0.3">
      <c r="C22" s="48" t="str">
        <f>IF(Lang="Français","Les unités sont réglés dans le Format de la cellule.","Units are set in cell number Format")</f>
        <v>Les unités sont réglés dans le Format de la cellule.</v>
      </c>
      <c r="H22" s="15" t="s">
        <v>37</v>
      </c>
    </row>
    <row r="23" spans="3:8" x14ac:dyDescent="0.3">
      <c r="C23" t="str">
        <f>IF(Lang="Français","Vous pouvez proposer vos améliorations en envoyant votre fichier à : ","Send all remarks and improvements proposals to:")</f>
        <v xml:space="preserve">Vous pouvez proposer vos améliorations en envoyant votre fichier à : </v>
      </c>
      <c r="H23" s="15"/>
    </row>
    <row r="25" spans="3:8" x14ac:dyDescent="0.3">
      <c r="C25" s="14" t="str">
        <f>IF(Lang="Français","Licence :","License:")</f>
        <v>Licence :</v>
      </c>
      <c r="D25" s="16"/>
    </row>
    <row r="26" spans="3:8" x14ac:dyDescent="0.3">
      <c r="C26" t="str">
        <f>IF(Lang="Français","Ce logiciel est placé sous la licence Creative Commons BY-SA","This software is placed under Creative Commons licence BY-SA")</f>
        <v>Ce logiciel est placé sous la licence Creative Commons BY-SA</v>
      </c>
      <c r="H26" s="68" t="s">
        <v>122</v>
      </c>
    </row>
    <row r="28" spans="3:8" x14ac:dyDescent="0.3">
      <c r="C28" s="14" t="str">
        <f>IF(Lang="Français","Compatibilité :","Compatibility:")</f>
        <v>Compatibilité :</v>
      </c>
    </row>
    <row r="29" spans="3:8" x14ac:dyDescent="0.3">
      <c r="C29" t="s">
        <v>152</v>
      </c>
    </row>
    <row r="30" spans="3:8" x14ac:dyDescent="0.3">
      <c r="C30" t="s">
        <v>303</v>
      </c>
    </row>
    <row r="31" spans="3:8" x14ac:dyDescent="0.3">
      <c r="C31" s="49" t="s">
        <v>110</v>
      </c>
    </row>
    <row r="33" spans="3:6" x14ac:dyDescent="0.3">
      <c r="C33" s="14" t="str">
        <f>IF(Lang="Français","Historique :","History:")</f>
        <v>Historique :</v>
      </c>
    </row>
    <row r="34" spans="3:6" x14ac:dyDescent="0.3">
      <c r="C34" t="s">
        <v>102</v>
      </c>
      <c r="D34" t="s">
        <v>42</v>
      </c>
      <c r="E34" s="47" t="s">
        <v>101</v>
      </c>
      <c r="F34" t="str">
        <f>IF(Lang="Français","Essais personnels, héritage d'une feuille de calcul de Vincent Girard, ESO","Personnel tests")</f>
        <v>Essais personnels, héritage d'une feuille de calcul de Vincent Girard, ESO</v>
      </c>
    </row>
    <row r="35" spans="3:6" x14ac:dyDescent="0.3">
      <c r="C35" t="s">
        <v>103</v>
      </c>
      <c r="D35" t="s">
        <v>42</v>
      </c>
      <c r="E35" s="16">
        <v>39483</v>
      </c>
      <c r="F35" t="str">
        <f>IF(Lang="Français","Equations de Barrowman généralisées (D_ref), masquage inter-ailerons, bilingue fr-en","Generalized Barrowman equations (D_ref), fin-fin interaction, english translation")</f>
        <v>Equations de Barrowman généralisées (D_ref), masquage inter-ailerons, bilingue fr-en</v>
      </c>
    </row>
    <row r="36" spans="3:6" x14ac:dyDescent="0.3">
      <c r="C36" t="s">
        <v>104</v>
      </c>
      <c r="D36" t="s">
        <v>42</v>
      </c>
      <c r="E36" s="16">
        <v>39507</v>
      </c>
      <c r="F36" t="str">
        <f>IF(Lang="Français","Schéma de la fusée, estimation analytique de la trajecto, diagramme des critères","Rocket schematic, analytical trajecto, criterions diagram")</f>
        <v>Schéma de la fusée, estimation analytique de la trajecto, diagramme des critères</v>
      </c>
    </row>
    <row r="37" spans="3:6" x14ac:dyDescent="0.3">
      <c r="C37" t="s">
        <v>105</v>
      </c>
      <c r="D37" t="s">
        <v>42</v>
      </c>
      <c r="E37" s="16">
        <v>39694</v>
      </c>
      <c r="F37" t="str">
        <f>IF(Lang="Français","Mise en forme","Formatting")</f>
        <v>Mise en forme</v>
      </c>
    </row>
    <row r="38" spans="3:6" x14ac:dyDescent="0.3">
      <c r="C38" t="s">
        <v>106</v>
      </c>
      <c r="D38" t="s">
        <v>42</v>
      </c>
      <c r="E38" s="16">
        <v>39643</v>
      </c>
      <c r="F38" t="str">
        <f>IF(Lang="Français","Essais personnels, héritage d'une feuille de calcul de Félicien Roux, ESO","Personal tests")</f>
        <v>Essais personnels, héritage d'une feuille de calcul de Félicien Roux, ESO</v>
      </c>
    </row>
    <row r="39" spans="3:6" x14ac:dyDescent="0.3">
      <c r="C39" t="s">
        <v>107</v>
      </c>
      <c r="D39" t="s">
        <v>42</v>
      </c>
      <c r="E39" s="16">
        <v>39755</v>
      </c>
      <c r="F39" t="str">
        <f>IF(Lang="Français","Réécriture équations, traduction, érgonomie","Equations, traduction, ergonomy")</f>
        <v>Réécriture équations, traduction, érgonomie</v>
      </c>
    </row>
    <row r="40" spans="3:6" x14ac:dyDescent="0.3">
      <c r="C40" t="s">
        <v>108</v>
      </c>
      <c r="D40" t="s">
        <v>42</v>
      </c>
      <c r="E40" s="16">
        <v>39756</v>
      </c>
      <c r="F40" t="str">
        <f>IF(Lang="Français","Conditions Initiales pour vol 2e étage, 1ère publication","Initial Conditions, 1st publication")</f>
        <v>Conditions Initiales pour vol 2e étage, 1ère publication</v>
      </c>
    </row>
    <row r="41" spans="3:6" x14ac:dyDescent="0.3">
      <c r="C41" t="s">
        <v>109</v>
      </c>
      <c r="D41" t="s">
        <v>42</v>
      </c>
      <c r="E41" s="16">
        <v>40658</v>
      </c>
      <c r="F41" t="s">
        <v>52</v>
      </c>
    </row>
    <row r="42" spans="3:6" x14ac:dyDescent="0.3">
      <c r="C42" t="s">
        <v>181</v>
      </c>
      <c r="D42" t="s">
        <v>42</v>
      </c>
      <c r="E42" s="16">
        <v>40868</v>
      </c>
      <c r="F42" t="str">
        <f>IF(Lang="Français","Fusion Stabilito+Trajecto, mise en forme, Ctrl, RC, H2O, Abaco","Merge Stabilito+Trajecto, formatting, Ctrl, RC, H2O, Abaco")</f>
        <v>Fusion Stabilito+Trajecto, mise en forme, Ctrl, RC, H2O, Abaco</v>
      </c>
    </row>
    <row r="43" spans="3:6" x14ac:dyDescent="0.3">
      <c r="C43" t="s">
        <v>329</v>
      </c>
      <c r="D43" t="s">
        <v>42</v>
      </c>
      <c r="E43" s="16">
        <v>41194</v>
      </c>
      <c r="F43" t="s">
        <v>333</v>
      </c>
    </row>
    <row r="44" spans="3:6" x14ac:dyDescent="0.3">
      <c r="C44" t="s">
        <v>330</v>
      </c>
      <c r="D44" t="s">
        <v>42</v>
      </c>
      <c r="E44" s="16">
        <v>41329</v>
      </c>
      <c r="F44" t="s">
        <v>334</v>
      </c>
    </row>
    <row r="45" spans="3:6" x14ac:dyDescent="0.3">
      <c r="C45" t="s">
        <v>418</v>
      </c>
      <c r="D45" t="s">
        <v>397</v>
      </c>
      <c r="E45" s="16">
        <v>41947</v>
      </c>
      <c r="F45" t="s">
        <v>417</v>
      </c>
    </row>
    <row r="46" spans="3:6" x14ac:dyDescent="0.3">
      <c r="C46" t="s">
        <v>422</v>
      </c>
      <c r="D46" t="s">
        <v>397</v>
      </c>
      <c r="E46" s="16">
        <v>41965</v>
      </c>
      <c r="F46" t="s">
        <v>420</v>
      </c>
    </row>
    <row r="47" spans="3:6" x14ac:dyDescent="0.3">
      <c r="C47" t="s">
        <v>545</v>
      </c>
      <c r="D47" t="s">
        <v>397</v>
      </c>
      <c r="E47" s="16">
        <v>43048</v>
      </c>
      <c r="F47" t="s">
        <v>546</v>
      </c>
    </row>
    <row r="48" spans="3:6" x14ac:dyDescent="0.3">
      <c r="C48" t="s">
        <v>549</v>
      </c>
      <c r="D48" t="s">
        <v>397</v>
      </c>
      <c r="E48" s="16">
        <v>44160</v>
      </c>
      <c r="F48" t="s">
        <v>551</v>
      </c>
    </row>
    <row r="49" spans="3:6" x14ac:dyDescent="0.3">
      <c r="C49" t="s">
        <v>560</v>
      </c>
      <c r="D49" t="s">
        <v>558</v>
      </c>
      <c r="E49" s="16">
        <v>45300</v>
      </c>
      <c r="F49" t="s">
        <v>559</v>
      </c>
    </row>
    <row r="50" spans="3:6" x14ac:dyDescent="0.3">
      <c r="C50" t="s">
        <v>562</v>
      </c>
      <c r="D50" t="s">
        <v>397</v>
      </c>
      <c r="E50" s="16">
        <v>45322</v>
      </c>
      <c r="F50" t="s">
        <v>567</v>
      </c>
    </row>
    <row r="51" spans="3:6" x14ac:dyDescent="0.3">
      <c r="C51" t="s">
        <v>571</v>
      </c>
      <c r="D51" t="s">
        <v>397</v>
      </c>
      <c r="E51" s="16">
        <v>45325</v>
      </c>
      <c r="F51" t="s">
        <v>570</v>
      </c>
    </row>
    <row r="52" spans="3:6" x14ac:dyDescent="0.3">
      <c r="E52" s="16"/>
    </row>
    <row r="53" spans="3:6" x14ac:dyDescent="0.3">
      <c r="C53" s="14" t="str">
        <f>IF(Lang="Français","Paramètres de référence :","Reference parameters:")</f>
        <v>Paramètres de référence :</v>
      </c>
    </row>
    <row r="54" spans="3:6" x14ac:dyDescent="0.3">
      <c r="C54" s="62" t="str">
        <f>IF(Lang="Français","Gravité g :","Gravity g")</f>
        <v>Gravité g :</v>
      </c>
      <c r="E54" s="62">
        <v>9.81</v>
      </c>
      <c r="F54" s="62" t="s">
        <v>7</v>
      </c>
    </row>
    <row r="55" spans="3:6" x14ac:dyDescent="0.3">
      <c r="C55" s="62" t="str">
        <f>IF(Lang="Français","Masse volumique de l'air ρ :","Air density ρ")</f>
        <v>Masse volumique de l'air ρ :</v>
      </c>
      <c r="E55" s="63">
        <v>1.2250000000000001</v>
      </c>
      <c r="F55" s="62" t="s">
        <v>8</v>
      </c>
    </row>
    <row r="56" spans="3:6" x14ac:dyDescent="0.3">
      <c r="C56" s="48"/>
    </row>
    <row r="57" spans="3:6" x14ac:dyDescent="0.3">
      <c r="C57" s="48"/>
    </row>
    <row r="58" spans="3:6" x14ac:dyDescent="0.3">
      <c r="C58" s="48"/>
    </row>
    <row r="59" spans="3:6" x14ac:dyDescent="0.3">
      <c r="C59" s="48"/>
    </row>
    <row r="60" spans="3:6" x14ac:dyDescent="0.3">
      <c r="C60" s="48"/>
    </row>
    <row r="61" spans="3:6" x14ac:dyDescent="0.3">
      <c r="C61" s="48"/>
    </row>
  </sheetData>
  <sheetProtection algorithmName="SHA-512" hashValue="dcP9v4DQ6JuvC6eLIBXnlatxcJ77hQrkAMZATd7/biqbQNTpo5JLWb/f1rwPyt3T541dwFzTLWfTsEIfUWsRvA==" saltValue="abKm4XUCT8zC5fp4rZeuTQ==" spinCount="100000" sheet="1" objects="1" scenarios="1"/>
  <mergeCells count="1">
    <mergeCell ref="C2:D3"/>
  </mergeCells>
  <phoneticPr fontId="8" type="noConversion"/>
  <hyperlinks>
    <hyperlink ref="H13" r:id="rId1" xr:uid="{00000000-0004-0000-0600-000000000000}"/>
    <hyperlink ref="H22" r:id="rId2" xr:uid="{00000000-0004-0000-0600-000001000000}"/>
    <hyperlink ref="H26" r:id="rId3" xr:uid="{00000000-0004-0000-0600-000002000000}"/>
  </hyperlinks>
  <pageMargins left="0.39370078740157483" right="0.39370078740157483" top="0.39370078740157483" bottom="0.39370078740157483" header="0" footer="0"/>
  <pageSetup scale="73" firstPageNumber="0" orientation="portrait" horizontalDpi="300" verticalDpi="300" r:id="rId4"/>
  <headerFooter alignWithMargins="0"/>
  <drawing r:id="rId5"/>
  <legacy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pageSetUpPr fitToPage="1"/>
  </sheetPr>
  <dimension ref="B1:U134"/>
  <sheetViews>
    <sheetView showGridLines="0" zoomScaleNormal="100" workbookViewId="0">
      <selection activeCell="L39" sqref="L39"/>
    </sheetView>
  </sheetViews>
  <sheetFormatPr baseColWidth="10" defaultColWidth="11.61328125" defaultRowHeight="12.45" x14ac:dyDescent="0.3"/>
  <cols>
    <col min="1" max="2" width="2.15234375" customWidth="1"/>
    <col min="3" max="3" width="12.61328125" customWidth="1"/>
    <col min="4" max="4" width="21" customWidth="1"/>
    <col min="7" max="7" width="26.61328125" customWidth="1"/>
    <col min="8" max="9" width="6.84375" customWidth="1"/>
    <col min="10" max="10" width="10" customWidth="1"/>
    <col min="11" max="11" width="13" customWidth="1"/>
    <col min="12" max="12" width="21.15234375" customWidth="1"/>
    <col min="14" max="14" width="2.15234375" customWidth="1"/>
    <col min="18" max="19" width="16.15234375" customWidth="1"/>
  </cols>
  <sheetData>
    <row r="1" spans="2:21" ht="12.9" thickBot="1" x14ac:dyDescent="0.35">
      <c r="O1" s="6"/>
      <c r="P1" s="48"/>
      <c r="Q1" s="48"/>
      <c r="R1" s="48"/>
      <c r="S1" s="48"/>
      <c r="T1" s="48"/>
      <c r="U1" s="48"/>
    </row>
    <row r="2" spans="2:21" ht="12.9" thickBot="1" x14ac:dyDescent="0.35">
      <c r="B2" s="71"/>
      <c r="C2" s="72"/>
      <c r="D2" s="72"/>
      <c r="E2" s="72"/>
      <c r="F2" s="72"/>
      <c r="G2" s="72"/>
      <c r="H2" s="72"/>
      <c r="I2" s="72"/>
      <c r="J2" s="72"/>
      <c r="K2" s="72"/>
      <c r="L2" s="72"/>
      <c r="M2" s="72"/>
      <c r="N2" s="73"/>
      <c r="O2" s="6"/>
      <c r="P2" s="48"/>
      <c r="Q2" s="48"/>
      <c r="R2" s="48"/>
      <c r="S2" s="48"/>
      <c r="T2" s="48"/>
      <c r="U2" s="48"/>
    </row>
    <row r="3" spans="2:21" ht="15.75" customHeight="1" thickBot="1" x14ac:dyDescent="0.35">
      <c r="B3" s="74"/>
      <c r="D3" s="2" t="s">
        <v>431</v>
      </c>
      <c r="N3" s="75"/>
      <c r="O3" s="6"/>
      <c r="P3" s="273" t="s">
        <v>342</v>
      </c>
      <c r="Q3" s="441">
        <f>Long_ogive</f>
        <v>199</v>
      </c>
      <c r="R3" s="48"/>
      <c r="S3" s="48"/>
      <c r="T3" s="48"/>
      <c r="U3" s="48"/>
    </row>
    <row r="4" spans="2:21" ht="15.75" customHeight="1" x14ac:dyDescent="0.3">
      <c r="B4" s="74"/>
      <c r="D4" s="2" t="s">
        <v>569</v>
      </c>
      <c r="E4" t="str">
        <f>Matricule</f>
        <v>MF0</v>
      </c>
      <c r="N4" s="75"/>
      <c r="O4" s="6"/>
      <c r="P4" s="273"/>
      <c r="Q4" s="436"/>
      <c r="R4" s="48"/>
      <c r="S4" s="48"/>
      <c r="T4" s="48"/>
      <c r="U4" s="48"/>
    </row>
    <row r="5" spans="2:21" ht="15.75" customHeight="1" x14ac:dyDescent="0.3">
      <c r="B5" s="74"/>
      <c r="D5" t="s">
        <v>464</v>
      </c>
      <c r="E5" t="str">
        <f>Propu</f>
        <v>p29-1G 57F59</v>
      </c>
      <c r="G5" t="s">
        <v>461</v>
      </c>
      <c r="H5">
        <f>MasseSans</f>
        <v>0.35899999999999999</v>
      </c>
      <c r="N5" s="75"/>
      <c r="O5" s="6"/>
      <c r="P5" s="273"/>
      <c r="Q5" s="436"/>
      <c r="R5" s="48"/>
      <c r="S5" s="48"/>
      <c r="T5" s="48"/>
      <c r="U5" s="48"/>
    </row>
    <row r="6" spans="2:21" x14ac:dyDescent="0.3">
      <c r="B6" s="74"/>
      <c r="D6" t="s">
        <v>457</v>
      </c>
      <c r="E6" s="2" t="str">
        <f>Trajecto!H34</f>
        <v>Brun/Orange…</v>
      </c>
      <c r="G6" t="s">
        <v>462</v>
      </c>
      <c r="H6">
        <f>D_ref</f>
        <v>59</v>
      </c>
      <c r="N6" s="75"/>
      <c r="O6" s="6"/>
      <c r="P6" s="273"/>
      <c r="Q6" s="436"/>
      <c r="R6" s="48"/>
      <c r="S6" s="48"/>
      <c r="T6" s="48"/>
      <c r="U6" s="48"/>
    </row>
    <row r="7" spans="2:21" x14ac:dyDescent="0.3">
      <c r="B7" s="74"/>
      <c r="D7" t="s">
        <v>459</v>
      </c>
      <c r="E7" s="2" t="str">
        <f>Trajecto!H35</f>
        <v>Rouge…</v>
      </c>
      <c r="G7" t="s">
        <v>5</v>
      </c>
      <c r="H7">
        <f>Cx</f>
        <v>0.6</v>
      </c>
      <c r="N7" s="75"/>
      <c r="O7" s="6"/>
      <c r="P7" s="273"/>
      <c r="Q7" s="436"/>
      <c r="R7" s="48"/>
      <c r="S7" s="48"/>
      <c r="T7" s="48"/>
      <c r="U7" s="48"/>
    </row>
    <row r="8" spans="2:21" x14ac:dyDescent="0.3">
      <c r="B8" s="74"/>
      <c r="D8" t="s">
        <v>460</v>
      </c>
      <c r="E8" s="2">
        <f>S_para</f>
        <v>0.26020500000000002</v>
      </c>
      <c r="G8" t="s">
        <v>463</v>
      </c>
      <c r="H8">
        <f>L_rampe</f>
        <v>2.5</v>
      </c>
      <c r="N8" s="75"/>
      <c r="O8" s="6"/>
      <c r="P8" s="273"/>
      <c r="Q8" s="436"/>
      <c r="R8" s="48"/>
      <c r="S8" s="48"/>
      <c r="T8" s="48"/>
      <c r="U8" s="48"/>
    </row>
    <row r="9" spans="2:21" x14ac:dyDescent="0.3">
      <c r="B9" s="74"/>
      <c r="D9" t="s">
        <v>458</v>
      </c>
      <c r="E9" s="2"/>
      <c r="G9" t="s">
        <v>146</v>
      </c>
      <c r="H9" s="532" t="str">
        <f>Forme_ogive</f>
        <v>Ogivale (pointue)</v>
      </c>
      <c r="N9" s="75"/>
      <c r="O9" s="6"/>
      <c r="P9" s="273"/>
      <c r="Q9" s="436"/>
      <c r="R9" s="48"/>
      <c r="S9" s="48"/>
      <c r="T9" s="48"/>
      <c r="U9" s="48"/>
    </row>
    <row r="10" spans="2:21" x14ac:dyDescent="0.3">
      <c r="B10" s="74"/>
      <c r="F10" s="3"/>
      <c r="G10" s="6"/>
      <c r="N10" s="75"/>
      <c r="O10" s="521"/>
      <c r="P10" s="48"/>
      <c r="Q10" s="436"/>
      <c r="R10" s="48"/>
      <c r="S10" s="48"/>
      <c r="T10" s="48"/>
      <c r="U10" s="48"/>
    </row>
    <row r="11" spans="2:21" ht="12.9" thickBot="1" x14ac:dyDescent="0.35">
      <c r="B11" s="74"/>
      <c r="C11" s="12"/>
      <c r="D11" s="275" t="s">
        <v>456</v>
      </c>
      <c r="E11" s="243">
        <f>MasseSans</f>
        <v>0.35899999999999999</v>
      </c>
      <c r="F11" s="246" t="s">
        <v>123</v>
      </c>
      <c r="G11" s="246" t="s">
        <v>125</v>
      </c>
      <c r="H11" s="668">
        <f ca="1">Vsortie_de_rampe</f>
        <v>24.491506493007957</v>
      </c>
      <c r="I11" s="669"/>
      <c r="J11" s="76"/>
      <c r="N11" s="75"/>
      <c r="P11" s="48"/>
      <c r="Q11" s="436"/>
      <c r="R11" s="48"/>
      <c r="S11" s="48"/>
      <c r="T11" s="48"/>
      <c r="U11" s="440" t="str">
        <f>IF(RIGHT(Nb_diam,1)=",", "", X_j)</f>
        <v/>
      </c>
    </row>
    <row r="12" spans="2:21" ht="12.9" thickBot="1" x14ac:dyDescent="0.35">
      <c r="B12" s="74"/>
      <c r="C12" s="12"/>
      <c r="D12" s="276"/>
      <c r="E12" s="244"/>
      <c r="F12" s="6" t="s">
        <v>123</v>
      </c>
      <c r="G12" s="6" t="s">
        <v>126</v>
      </c>
      <c r="H12" s="670">
        <f>Finesse</f>
        <v>16.966101694915253</v>
      </c>
      <c r="I12" s="671"/>
      <c r="J12" s="76"/>
      <c r="N12" s="75"/>
      <c r="O12" s="6"/>
      <c r="P12" s="273" t="s">
        <v>343</v>
      </c>
      <c r="Q12" s="441">
        <f>D_og</f>
        <v>59</v>
      </c>
      <c r="R12" s="48"/>
      <c r="S12" s="48"/>
      <c r="T12" s="48"/>
      <c r="U12" s="436"/>
    </row>
    <row r="13" spans="2:21" x14ac:dyDescent="0.3">
      <c r="B13" s="74"/>
      <c r="C13" s="12"/>
      <c r="D13" s="276" t="s">
        <v>5</v>
      </c>
      <c r="E13" s="244">
        <f>Cx</f>
        <v>0.6</v>
      </c>
      <c r="F13" s="6" t="s">
        <v>123</v>
      </c>
      <c r="G13" s="6" t="s">
        <v>435</v>
      </c>
      <c r="H13" s="670">
        <f>Cn</f>
        <v>21.497524281832401</v>
      </c>
      <c r="I13" s="671"/>
      <c r="J13" s="76"/>
      <c r="N13" s="75"/>
      <c r="O13" s="6"/>
      <c r="P13" s="48"/>
      <c r="Q13" s="436"/>
      <c r="R13" s="48"/>
      <c r="S13" s="48"/>
      <c r="T13" s="48"/>
      <c r="U13" s="440" t="str">
        <f>IF(RIGHT(Nb_diam,1)=",", "", X_r)</f>
        <v/>
      </c>
    </row>
    <row r="14" spans="2:21" x14ac:dyDescent="0.3">
      <c r="B14" s="74"/>
      <c r="C14" s="12"/>
      <c r="D14" s="276" t="s">
        <v>143</v>
      </c>
      <c r="E14" s="244">
        <f>L_rampe</f>
        <v>2.5</v>
      </c>
      <c r="F14" s="6" t="s">
        <v>123</v>
      </c>
      <c r="G14" s="6" t="s">
        <v>127</v>
      </c>
      <c r="H14" s="247">
        <f ca="1">MS_min</f>
        <v>2.9683187218483851</v>
      </c>
      <c r="I14" s="254">
        <f ca="1">MS_max</f>
        <v>3.27021316227051</v>
      </c>
      <c r="J14" s="76"/>
      <c r="K14" s="76"/>
      <c r="N14" s="75"/>
      <c r="P14" s="48"/>
      <c r="Q14" s="436"/>
      <c r="R14" s="48"/>
      <c r="S14" s="48"/>
      <c r="T14" s="48"/>
      <c r="U14" s="436"/>
    </row>
    <row r="15" spans="2:21" x14ac:dyDescent="0.3">
      <c r="B15" s="74"/>
      <c r="C15" s="12"/>
      <c r="D15" s="276" t="s">
        <v>144</v>
      </c>
      <c r="E15" s="244">
        <f>ep_ail</f>
        <v>2</v>
      </c>
      <c r="F15" s="6" t="s">
        <v>123</v>
      </c>
      <c r="G15" s="6" t="s">
        <v>124</v>
      </c>
      <c r="H15" s="247">
        <f ca="1">MS_Cn_min</f>
        <v>63.811503799153378</v>
      </c>
      <c r="I15" s="254">
        <f ca="1">MS_Cn_max</f>
        <v>70.301486862678217</v>
      </c>
      <c r="J15" s="76"/>
      <c r="K15" s="76"/>
      <c r="N15" s="75"/>
      <c r="P15" s="48"/>
      <c r="Q15" s="436"/>
      <c r="R15" s="48"/>
      <c r="S15" s="48"/>
      <c r="T15" s="48"/>
    </row>
    <row r="16" spans="2:21" x14ac:dyDescent="0.3">
      <c r="B16" s="74"/>
      <c r="C16" s="12"/>
      <c r="D16" s="276" t="s">
        <v>145</v>
      </c>
      <c r="E16" s="244">
        <f>Q_ail</f>
        <v>4</v>
      </c>
      <c r="F16" s="6" t="s">
        <v>128</v>
      </c>
      <c r="G16" s="6" t="s">
        <v>129</v>
      </c>
      <c r="H16" s="247">
        <f ca="1">V_para</f>
        <v>5.1266961211658746</v>
      </c>
      <c r="I16" s="253">
        <f>V_satellite</f>
        <v>10.960038730752361</v>
      </c>
      <c r="J16" s="76"/>
      <c r="N16" s="75"/>
      <c r="P16" s="48"/>
      <c r="Q16" s="436"/>
      <c r="R16" s="48"/>
      <c r="S16" s="48"/>
      <c r="T16" s="48"/>
      <c r="U16" s="440" t="str">
        <f>IF(RIGHT(Nb_diam,1)=",", "", l_j)</f>
        <v/>
      </c>
    </row>
    <row r="17" spans="2:21" x14ac:dyDescent="0.3">
      <c r="B17" s="74"/>
      <c r="C17" s="12"/>
      <c r="D17" s="276" t="s">
        <v>146</v>
      </c>
      <c r="E17" s="272" t="str">
        <f>Forme_ogive</f>
        <v>Ogivale (pointue)</v>
      </c>
      <c r="F17" s="6" t="s">
        <v>130</v>
      </c>
      <c r="G17" s="6" t="s">
        <v>131</v>
      </c>
      <c r="H17" s="670">
        <f>T_para</f>
        <v>8</v>
      </c>
      <c r="I17" s="671"/>
      <c r="J17" s="258"/>
      <c r="N17" s="75"/>
      <c r="P17" s="434" t="s">
        <v>344</v>
      </c>
      <c r="Q17" s="440" t="str">
        <f>IF(RIGHT(Nb_diam,1)=",", "", D2j)</f>
        <v/>
      </c>
      <c r="R17" s="48"/>
      <c r="S17" s="48"/>
      <c r="T17" s="48"/>
      <c r="U17" s="436"/>
    </row>
    <row r="18" spans="2:21" x14ac:dyDescent="0.3">
      <c r="B18" s="74"/>
      <c r="C18" s="12"/>
      <c r="D18" s="276" t="s">
        <v>148</v>
      </c>
      <c r="E18" s="244">
        <f ca="1">XpropuRef-Long_propu</f>
        <v>903</v>
      </c>
      <c r="F18" s="12" t="s">
        <v>130</v>
      </c>
      <c r="G18" s="12" t="s">
        <v>429</v>
      </c>
      <c r="H18" s="635">
        <f ca="1">T_para-Combustion-Depotage</f>
        <v>-4.96</v>
      </c>
      <c r="I18" s="674"/>
      <c r="N18" s="75"/>
      <c r="P18" s="48"/>
      <c r="Q18" s="436"/>
      <c r="R18" s="48"/>
      <c r="S18" s="48"/>
    </row>
    <row r="19" spans="2:21" x14ac:dyDescent="0.3">
      <c r="B19" s="74"/>
      <c r="C19" s="531"/>
      <c r="D19" s="269"/>
      <c r="E19" s="271"/>
      <c r="F19" s="519" t="s">
        <v>132</v>
      </c>
      <c r="G19" s="274" t="s">
        <v>428</v>
      </c>
      <c r="H19" s="675">
        <f ca="1">Portee_balistique</f>
        <v>150.09587023194715</v>
      </c>
      <c r="I19" s="676"/>
      <c r="N19" s="75"/>
      <c r="P19" s="48"/>
      <c r="Q19" s="436"/>
      <c r="R19" s="48"/>
      <c r="S19" s="48"/>
      <c r="T19" s="48"/>
    </row>
    <row r="20" spans="2:21" x14ac:dyDescent="0.3">
      <c r="B20" s="74"/>
      <c r="C20" s="12"/>
      <c r="D20" s="6"/>
      <c r="E20" s="6"/>
      <c r="H20" s="518"/>
      <c r="I20" s="518"/>
      <c r="N20" s="75"/>
      <c r="P20" s="48"/>
      <c r="Q20" s="436"/>
      <c r="R20" s="48"/>
      <c r="S20" s="48"/>
      <c r="T20" s="48"/>
      <c r="U20" s="440" t="str">
        <f>IF(RIGHT(Nb_diam,1)=",", "", l_r)</f>
        <v/>
      </c>
    </row>
    <row r="21" spans="2:21" x14ac:dyDescent="0.3">
      <c r="B21" s="74"/>
      <c r="C21" s="12"/>
      <c r="D21" s="6"/>
      <c r="E21" s="263"/>
      <c r="F21" s="3"/>
      <c r="G21" s="6"/>
      <c r="H21" s="518"/>
      <c r="I21" s="518"/>
      <c r="N21" s="75"/>
      <c r="O21" s="273"/>
      <c r="P21" s="436"/>
      <c r="Q21" s="48"/>
      <c r="R21" s="48"/>
      <c r="S21" s="48"/>
      <c r="T21" s="226"/>
      <c r="U21" s="436"/>
    </row>
    <row r="22" spans="2:21" x14ac:dyDescent="0.3">
      <c r="B22" s="74"/>
      <c r="C22" s="526" t="s">
        <v>455</v>
      </c>
      <c r="D22" s="526" t="s">
        <v>439</v>
      </c>
      <c r="E22" s="527"/>
      <c r="F22" s="528" t="s">
        <v>444</v>
      </c>
      <c r="G22" s="526" t="s">
        <v>449</v>
      </c>
      <c r="I22" s="529"/>
      <c r="J22" s="530" t="s">
        <v>156</v>
      </c>
      <c r="K22" s="526" t="s">
        <v>157</v>
      </c>
      <c r="N22" s="75"/>
      <c r="O22" s="273"/>
      <c r="P22" s="436"/>
      <c r="Q22" s="48"/>
      <c r="R22" s="48"/>
      <c r="S22" s="48"/>
      <c r="T22" s="226"/>
      <c r="U22" s="436"/>
    </row>
    <row r="23" spans="2:21" x14ac:dyDescent="0.3">
      <c r="B23" s="74"/>
      <c r="C23" s="526" t="s">
        <v>454</v>
      </c>
      <c r="D23" s="527">
        <f>XcgSans</f>
        <v>639</v>
      </c>
      <c r="E23" s="527" t="s">
        <v>38</v>
      </c>
      <c r="F23" s="528">
        <f>m_ail</f>
        <v>109</v>
      </c>
      <c r="G23" s="526">
        <f>m_can</f>
        <v>70</v>
      </c>
      <c r="I23" s="529" t="s">
        <v>450</v>
      </c>
      <c r="J23" s="528">
        <f>l_j</f>
        <v>50</v>
      </c>
      <c r="K23" s="526">
        <f>l_r</f>
        <v>50</v>
      </c>
      <c r="N23" s="75"/>
      <c r="O23" s="273"/>
      <c r="P23" s="436"/>
      <c r="Q23" s="48"/>
      <c r="R23" s="48"/>
      <c r="S23" s="48"/>
      <c r="T23" s="226"/>
      <c r="U23" s="436"/>
    </row>
    <row r="24" spans="2:21" x14ac:dyDescent="0.3">
      <c r="B24" s="74"/>
      <c r="C24" s="526" t="s">
        <v>442</v>
      </c>
      <c r="D24" s="526">
        <f>Long_tot</f>
        <v>1001</v>
      </c>
      <c r="E24" s="527" t="s">
        <v>445</v>
      </c>
      <c r="F24" s="528">
        <f>n_ail</f>
        <v>59</v>
      </c>
      <c r="G24" s="526">
        <f>n_can</f>
        <v>10</v>
      </c>
      <c r="I24" s="529" t="s">
        <v>451</v>
      </c>
      <c r="J24" s="528">
        <f>D1j</f>
        <v>59</v>
      </c>
      <c r="K24" s="526">
        <f>D1r</f>
        <v>80</v>
      </c>
      <c r="N24" s="75"/>
      <c r="O24" s="273"/>
      <c r="P24" s="436"/>
      <c r="Q24" s="48"/>
      <c r="R24" s="48"/>
      <c r="S24" s="48"/>
      <c r="T24" s="226"/>
      <c r="U24" s="436"/>
    </row>
    <row r="25" spans="2:21" x14ac:dyDescent="0.3">
      <c r="B25" s="74"/>
      <c r="C25" s="526" t="s">
        <v>443</v>
      </c>
      <c r="D25" s="526">
        <f>XpropuRef</f>
        <v>1001</v>
      </c>
      <c r="E25" s="527" t="s">
        <v>446</v>
      </c>
      <c r="F25" s="528">
        <f>p_ail</f>
        <v>109</v>
      </c>
      <c r="G25" s="526">
        <f>p_can</f>
        <v>40</v>
      </c>
      <c r="I25" s="529" t="s">
        <v>452</v>
      </c>
      <c r="J25" s="528">
        <f>D2j</f>
        <v>80</v>
      </c>
      <c r="K25" s="526">
        <f>D2r</f>
        <v>59</v>
      </c>
      <c r="N25" s="75"/>
      <c r="O25" s="273"/>
      <c r="P25" s="436"/>
      <c r="Q25" s="48"/>
      <c r="R25" s="48"/>
      <c r="S25" s="48"/>
      <c r="T25" s="226"/>
      <c r="U25" s="436"/>
    </row>
    <row r="26" spans="2:21" x14ac:dyDescent="0.3">
      <c r="B26" s="74"/>
      <c r="C26" s="526" t="s">
        <v>440</v>
      </c>
      <c r="D26" s="526">
        <f>D_ref</f>
        <v>59</v>
      </c>
      <c r="E26" s="527" t="s">
        <v>447</v>
      </c>
      <c r="F26" s="528">
        <f>E_ail</f>
        <v>99</v>
      </c>
      <c r="G26" s="526">
        <f>E_can</f>
        <v>50</v>
      </c>
      <c r="I26" s="529" t="s">
        <v>453</v>
      </c>
      <c r="J26" s="528">
        <f>X_j</f>
        <v>300</v>
      </c>
      <c r="K26" s="526">
        <f>X_r</f>
        <v>500</v>
      </c>
      <c r="N26" s="75"/>
      <c r="O26" s="273"/>
      <c r="P26" s="436"/>
      <c r="Q26" s="48"/>
      <c r="R26" s="48"/>
      <c r="S26" s="48"/>
      <c r="T26" s="226"/>
      <c r="U26" s="436"/>
    </row>
    <row r="27" spans="2:21" x14ac:dyDescent="0.3">
      <c r="B27" s="74"/>
      <c r="C27" s="526" t="s">
        <v>441</v>
      </c>
      <c r="D27" s="526">
        <f>Long_ogive</f>
        <v>199</v>
      </c>
      <c r="E27" s="527" t="s">
        <v>448</v>
      </c>
      <c r="F27" s="528">
        <f>X_ail</f>
        <v>1001</v>
      </c>
      <c r="G27" s="526">
        <f>X_can</f>
        <v>700</v>
      </c>
      <c r="H27" s="518"/>
      <c r="I27" s="3"/>
      <c r="J27" s="2"/>
      <c r="N27" s="75"/>
      <c r="O27" s="273"/>
      <c r="P27" s="436"/>
      <c r="Q27" s="48"/>
      <c r="R27" s="48"/>
      <c r="S27" s="48"/>
      <c r="T27" s="226"/>
      <c r="U27" s="436"/>
    </row>
    <row r="28" spans="2:21" ht="12.9" thickBot="1" x14ac:dyDescent="0.35">
      <c r="B28" s="74"/>
      <c r="E28" s="95"/>
      <c r="N28" s="75"/>
      <c r="O28" s="2"/>
      <c r="P28" s="6"/>
      <c r="Q28" s="2"/>
      <c r="R28" s="48"/>
      <c r="S28" s="48"/>
      <c r="T28" s="48"/>
      <c r="U28" s="436"/>
    </row>
    <row r="29" spans="2:21" ht="12.9" thickBot="1" x14ac:dyDescent="0.35">
      <c r="B29" s="74"/>
      <c r="C29" s="673" t="s">
        <v>141</v>
      </c>
      <c r="D29" s="673" t="s">
        <v>133</v>
      </c>
      <c r="E29" s="673" t="s">
        <v>134</v>
      </c>
      <c r="F29" s="673"/>
      <c r="G29" s="673"/>
      <c r="H29" s="672" t="s">
        <v>135</v>
      </c>
      <c r="I29" s="672"/>
      <c r="J29" s="672"/>
      <c r="K29" s="672"/>
      <c r="L29" s="673" t="s">
        <v>136</v>
      </c>
      <c r="M29" s="673" t="s">
        <v>137</v>
      </c>
      <c r="N29" s="75"/>
      <c r="O29" s="273" t="s">
        <v>432</v>
      </c>
      <c r="P29" s="441">
        <f>n_ail</f>
        <v>59</v>
      </c>
      <c r="Q29" s="2"/>
      <c r="R29" s="48"/>
      <c r="S29" s="48"/>
      <c r="T29" s="48"/>
      <c r="U29" s="12" t="s">
        <v>436</v>
      </c>
    </row>
    <row r="30" spans="2:21" ht="12.9" thickBot="1" x14ac:dyDescent="0.35">
      <c r="B30" s="74"/>
      <c r="C30" s="673"/>
      <c r="D30" s="673"/>
      <c r="E30" s="673"/>
      <c r="F30" s="673"/>
      <c r="G30" s="673"/>
      <c r="H30" s="672" t="s">
        <v>138</v>
      </c>
      <c r="I30" s="672"/>
      <c r="J30" s="69" t="s">
        <v>139</v>
      </c>
      <c r="K30" s="70" t="s">
        <v>140</v>
      </c>
      <c r="L30" s="673"/>
      <c r="M30" s="673"/>
      <c r="N30" s="75"/>
      <c r="P30" s="12"/>
      <c r="R30" s="48"/>
      <c r="S30" s="48"/>
      <c r="T30" s="226" t="s">
        <v>434</v>
      </c>
      <c r="U30" s="523">
        <f>[0]!p_can</f>
        <v>40</v>
      </c>
    </row>
    <row r="31" spans="2:21" ht="12.9" thickBot="1" x14ac:dyDescent="0.35">
      <c r="B31" s="74"/>
      <c r="C31" s="83">
        <f>Beta_rampe</f>
        <v>80</v>
      </c>
      <c r="D31" s="84">
        <f ca="1">Portee_balistique</f>
        <v>150.09587023194715</v>
      </c>
      <c r="E31" s="677">
        <f ca="1">T_para+Dt_para</f>
        <v>64.962345193178464</v>
      </c>
      <c r="F31" s="677"/>
      <c r="G31" s="677"/>
      <c r="H31" s="678">
        <f ca="1">Altitude_culmi</f>
        <v>296.10396047690489</v>
      </c>
      <c r="I31" s="678"/>
      <c r="J31" s="85">
        <f ca="1">Temps_culmi</f>
        <v>6.999999999999992</v>
      </c>
      <c r="K31" s="86">
        <f ca="1">Vit_culmi</f>
        <v>9.588714365088471</v>
      </c>
      <c r="L31" s="84">
        <f ca="1">Acc_max</f>
        <v>141.30351488622108</v>
      </c>
      <c r="M31" s="86">
        <f ca="1">Vit_max</f>
        <v>107.5769976433798</v>
      </c>
      <c r="N31" s="75"/>
      <c r="O31" s="273" t="s">
        <v>438</v>
      </c>
      <c r="P31" s="441">
        <f>ep_ail</f>
        <v>2</v>
      </c>
      <c r="Q31" s="2"/>
      <c r="R31" s="48"/>
      <c r="S31" s="48"/>
      <c r="T31" s="226" t="s">
        <v>346</v>
      </c>
      <c r="U31" s="523">
        <f>[0]!m_can</f>
        <v>70</v>
      </c>
    </row>
    <row r="32" spans="2:21" ht="12.9" thickBot="1" x14ac:dyDescent="0.35">
      <c r="B32" s="74"/>
      <c r="C32" s="520"/>
      <c r="D32" s="242"/>
      <c r="E32" s="247"/>
      <c r="F32" s="247"/>
      <c r="G32" s="247"/>
      <c r="H32" s="283"/>
      <c r="I32" s="283"/>
      <c r="J32" s="247"/>
      <c r="K32" s="248"/>
      <c r="L32" s="242"/>
      <c r="M32" s="248"/>
      <c r="N32" s="75"/>
      <c r="O32" s="273" t="s">
        <v>437</v>
      </c>
      <c r="P32" s="522">
        <f>Q_ail</f>
        <v>4</v>
      </c>
      <c r="Q32" s="2"/>
      <c r="R32" s="48"/>
      <c r="S32" s="48"/>
      <c r="T32" s="226" t="s">
        <v>432</v>
      </c>
      <c r="U32" s="523">
        <f>[0]!n_can</f>
        <v>10</v>
      </c>
    </row>
    <row r="33" spans="2:21" ht="12.9" thickBot="1" x14ac:dyDescent="0.35">
      <c r="B33" s="74"/>
      <c r="D33" s="80"/>
      <c r="E33" s="81"/>
      <c r="F33" s="81"/>
      <c r="G33" s="81"/>
      <c r="H33" s="82"/>
      <c r="I33" s="82"/>
      <c r="J33" s="81"/>
      <c r="K33" s="76"/>
      <c r="L33" s="80"/>
      <c r="M33" s="76"/>
      <c r="N33" s="75"/>
      <c r="O33" s="2"/>
      <c r="Q33" s="2"/>
      <c r="R33" s="48"/>
      <c r="S33" s="48"/>
      <c r="T33" s="226" t="s">
        <v>433</v>
      </c>
      <c r="U33" s="523">
        <f>[0]!E_can</f>
        <v>50</v>
      </c>
    </row>
    <row r="34" spans="2:21" ht="12.9" thickBot="1" x14ac:dyDescent="0.35">
      <c r="B34" s="77"/>
      <c r="C34" s="78"/>
      <c r="D34" s="78"/>
      <c r="E34" s="78"/>
      <c r="F34" s="78"/>
      <c r="G34" s="78"/>
      <c r="H34" s="78"/>
      <c r="I34" s="78"/>
      <c r="J34" s="78"/>
      <c r="K34" s="78"/>
      <c r="L34" s="78"/>
      <c r="M34" s="78"/>
      <c r="N34" s="79"/>
      <c r="O34" s="2"/>
      <c r="P34" s="273" t="s">
        <v>433</v>
      </c>
      <c r="Q34" s="441">
        <f>E_ail</f>
        <v>99</v>
      </c>
      <c r="T34" s="226" t="s">
        <v>438</v>
      </c>
      <c r="U34" s="523">
        <f>[0]!ep_can</f>
        <v>2</v>
      </c>
    </row>
    <row r="35" spans="2:21" x14ac:dyDescent="0.3">
      <c r="O35" s="2"/>
      <c r="P35" s="6"/>
      <c r="Q35" s="6"/>
      <c r="T35" s="226" t="s">
        <v>437</v>
      </c>
      <c r="U35" s="523">
        <f>[0]!Q_can</f>
        <v>4</v>
      </c>
    </row>
    <row r="36" spans="2:21" ht="12.9" thickBot="1" x14ac:dyDescent="0.35">
      <c r="T36" s="2"/>
      <c r="U36" s="12"/>
    </row>
    <row r="37" spans="2:21" x14ac:dyDescent="0.3">
      <c r="B37" s="71"/>
      <c r="C37" s="72"/>
      <c r="D37" s="72"/>
      <c r="E37" s="72"/>
      <c r="F37" s="72"/>
      <c r="G37" s="72"/>
      <c r="H37" s="72"/>
      <c r="I37" s="72"/>
      <c r="J37" s="72"/>
      <c r="K37" s="72"/>
      <c r="L37" s="72"/>
      <c r="M37" s="72"/>
      <c r="N37" s="73"/>
      <c r="T37" s="2"/>
    </row>
    <row r="38" spans="2:21" x14ac:dyDescent="0.3">
      <c r="B38" s="74"/>
      <c r="D38" s="2" t="s">
        <v>197</v>
      </c>
      <c r="H38" s="273" t="s">
        <v>568</v>
      </c>
      <c r="I38" t="str">
        <f>Matricule</f>
        <v>MF0</v>
      </c>
      <c r="N38" s="75"/>
    </row>
    <row r="39" spans="2:21" x14ac:dyDescent="0.3">
      <c r="B39" s="74"/>
      <c r="D39" s="2"/>
      <c r="N39" s="75"/>
    </row>
    <row r="40" spans="2:21" x14ac:dyDescent="0.3">
      <c r="B40" s="74"/>
      <c r="D40" s="275" t="s">
        <v>149</v>
      </c>
      <c r="E40" s="246">
        <f>D_ref</f>
        <v>59</v>
      </c>
      <c r="F40" s="265"/>
      <c r="G40" s="265"/>
      <c r="H40" s="261" t="s">
        <v>200</v>
      </c>
      <c r="I40" s="261" t="s">
        <v>201</v>
      </c>
      <c r="J40" s="262" t="s">
        <v>202</v>
      </c>
      <c r="N40" s="75"/>
    </row>
    <row r="41" spans="2:21" x14ac:dyDescent="0.3">
      <c r="B41" s="74"/>
      <c r="D41" s="276" t="s">
        <v>147</v>
      </c>
      <c r="E41" s="6">
        <f>Long_ogive</f>
        <v>199</v>
      </c>
      <c r="F41" s="2"/>
      <c r="G41" s="2" t="s">
        <v>203</v>
      </c>
      <c r="H41" s="6">
        <f>MasseSans</f>
        <v>0.35899999999999999</v>
      </c>
      <c r="I41" s="6">
        <f ca="1">MasseVide</f>
        <v>0.42699999999999999</v>
      </c>
      <c r="J41" s="244">
        <f ca="1">MassePlein</f>
        <v>0.45799999999999996</v>
      </c>
      <c r="N41" s="75"/>
    </row>
    <row r="42" spans="2:21" x14ac:dyDescent="0.3">
      <c r="B42" s="74"/>
      <c r="D42" s="276" t="s">
        <v>150</v>
      </c>
      <c r="E42" s="6">
        <f>X_ail-m_ail</f>
        <v>892</v>
      </c>
      <c r="F42" s="255"/>
      <c r="G42" s="255" t="s">
        <v>220</v>
      </c>
      <c r="H42" s="263">
        <f>XcgSans</f>
        <v>639</v>
      </c>
      <c r="I42" s="263">
        <f ca="1">XcgVide</f>
        <v>688.84543325526931</v>
      </c>
      <c r="J42" s="245">
        <f ca="1">XcgPlein</f>
        <v>706.65720524017468</v>
      </c>
      <c r="N42" s="75"/>
    </row>
    <row r="43" spans="2:21" x14ac:dyDescent="0.3">
      <c r="B43" s="74"/>
      <c r="D43" s="276" t="str">
        <f>IF(Lang="Français","Emplanture 'm'",IF(Lang="English","Root edge  'm'",""))</f>
        <v>Emplanture 'm'</v>
      </c>
      <c r="E43" s="244">
        <f>m_ail</f>
        <v>109</v>
      </c>
      <c r="N43" s="75"/>
    </row>
    <row r="44" spans="2:21" x14ac:dyDescent="0.3">
      <c r="B44" s="74"/>
      <c r="D44" s="276" t="str">
        <f>IF(Lang="Français","Saumon      'n'",IF(Lang="English","Tip edge    'n'",""))</f>
        <v>Saumon      'n'</v>
      </c>
      <c r="E44" s="244">
        <f>n_ail</f>
        <v>59</v>
      </c>
      <c r="F44" s="246" t="s">
        <v>204</v>
      </c>
      <c r="G44" s="246" t="s">
        <v>209</v>
      </c>
      <c r="H44" s="668">
        <f ca="1">Vsortie_de_rampe</f>
        <v>24.491506493007957</v>
      </c>
      <c r="I44" s="669"/>
      <c r="N44" s="75"/>
    </row>
    <row r="45" spans="2:21" x14ac:dyDescent="0.3">
      <c r="B45" s="74"/>
      <c r="D45" s="276" t="str">
        <f>IF(Lang="Français","Flèche        'p'",IF(Lang="English","Offset         'p'",""))</f>
        <v>Flèche        'p'</v>
      </c>
      <c r="E45" s="244">
        <f>p_ail</f>
        <v>109</v>
      </c>
      <c r="F45" s="6" t="s">
        <v>205</v>
      </c>
      <c r="G45" s="6" t="s">
        <v>210</v>
      </c>
      <c r="H45" s="670">
        <f>Finesse</f>
        <v>16.966101694915253</v>
      </c>
      <c r="I45" s="671"/>
      <c r="N45" s="75"/>
    </row>
    <row r="46" spans="2:21" x14ac:dyDescent="0.3">
      <c r="B46" s="74"/>
      <c r="D46" s="276" t="str">
        <f>IF(Lang="Français","Envergure   'E'",IF(Lang="English","Span          'E'",""))</f>
        <v>Envergure   'E'</v>
      </c>
      <c r="E46" s="244">
        <f>E_ail</f>
        <v>99</v>
      </c>
      <c r="F46" s="6" t="s">
        <v>206</v>
      </c>
      <c r="G46" s="6" t="s">
        <v>211</v>
      </c>
      <c r="H46" s="670">
        <f>Cn</f>
        <v>21.497524281832401</v>
      </c>
      <c r="I46" s="671"/>
      <c r="N46" s="75"/>
    </row>
    <row r="47" spans="2:21" x14ac:dyDescent="0.3">
      <c r="B47" s="74"/>
      <c r="D47" s="276" t="s">
        <v>144</v>
      </c>
      <c r="E47" s="244">
        <f>ep_ail</f>
        <v>2</v>
      </c>
      <c r="F47" s="6" t="s">
        <v>207</v>
      </c>
      <c r="G47" s="6" t="s">
        <v>212</v>
      </c>
      <c r="H47" s="247">
        <f ca="1">MS_min</f>
        <v>2.9683187218483851</v>
      </c>
      <c r="I47" s="254">
        <f ca="1">MS_max</f>
        <v>3.27021316227051</v>
      </c>
      <c r="N47" s="75"/>
    </row>
    <row r="48" spans="2:21" x14ac:dyDescent="0.3">
      <c r="B48" s="74"/>
      <c r="D48" s="276" t="s">
        <v>145</v>
      </c>
      <c r="E48" s="244">
        <f>Q_ail</f>
        <v>4</v>
      </c>
      <c r="F48" s="274" t="s">
        <v>208</v>
      </c>
      <c r="G48" s="274" t="s">
        <v>213</v>
      </c>
      <c r="H48" s="256">
        <f ca="1">MS_Cn_min</f>
        <v>63.811503799153378</v>
      </c>
      <c r="I48" s="264">
        <f ca="1">MS_Cn_max</f>
        <v>70.301486862678217</v>
      </c>
      <c r="N48" s="75"/>
    </row>
    <row r="49" spans="2:14" x14ac:dyDescent="0.3">
      <c r="B49" s="74"/>
      <c r="D49" s="276" t="s">
        <v>148</v>
      </c>
      <c r="E49" s="244">
        <f ca="1">XpropuRef-Long_propu</f>
        <v>903</v>
      </c>
      <c r="N49" s="75"/>
    </row>
    <row r="50" spans="2:14" x14ac:dyDescent="0.3">
      <c r="B50" s="74"/>
      <c r="D50" s="276" t="s">
        <v>146</v>
      </c>
      <c r="E50" s="272" t="str">
        <f>Forme_ogive</f>
        <v>Ogivale (pointue)</v>
      </c>
      <c r="F50" s="273" t="s">
        <v>185</v>
      </c>
      <c r="G50" s="275" t="s">
        <v>5</v>
      </c>
      <c r="H50" s="246">
        <f>Cx</f>
        <v>0.6</v>
      </c>
      <c r="I50" s="265"/>
      <c r="J50" s="266"/>
      <c r="N50" s="75"/>
    </row>
    <row r="51" spans="2:14" x14ac:dyDescent="0.3">
      <c r="B51" s="74"/>
      <c r="D51" s="276" t="s">
        <v>142</v>
      </c>
      <c r="E51" s="244">
        <f>Long_tot</f>
        <v>1001</v>
      </c>
      <c r="G51" s="276" t="s">
        <v>214</v>
      </c>
      <c r="H51" s="6">
        <f>Sref</f>
        <v>3.5259710067865177E-3</v>
      </c>
      <c r="J51" s="267"/>
      <c r="N51" s="75"/>
    </row>
    <row r="52" spans="2:14" x14ac:dyDescent="0.3">
      <c r="B52" s="74"/>
      <c r="D52" s="276" t="s">
        <v>198</v>
      </c>
      <c r="E52" s="244">
        <f>MAX(D_ref,D_ail,D_og,(RIGHT(Nb_diam,1)=",")*MAX(D1j,D1r,D2j,D2r))</f>
        <v>80</v>
      </c>
      <c r="G52" s="276" t="s">
        <v>215</v>
      </c>
      <c r="H52" s="6">
        <f>Beta_rampe</f>
        <v>80</v>
      </c>
      <c r="I52" s="6">
        <v>80</v>
      </c>
      <c r="J52" s="244">
        <v>90</v>
      </c>
      <c r="N52" s="75"/>
    </row>
    <row r="53" spans="2:14" x14ac:dyDescent="0.3">
      <c r="B53" s="74"/>
      <c r="D53" s="277" t="s">
        <v>199</v>
      </c>
      <c r="E53" s="260">
        <f>E_ail*2+D_ail</f>
        <v>257</v>
      </c>
      <c r="G53" s="278" t="s">
        <v>217</v>
      </c>
      <c r="H53" s="247">
        <f ca="1">Temps_culmi</f>
        <v>6.999999999999992</v>
      </c>
      <c r="I53" s="259"/>
      <c r="J53" s="268"/>
      <c r="N53" s="75"/>
    </row>
    <row r="54" spans="2:14" x14ac:dyDescent="0.3">
      <c r="B54" s="74"/>
      <c r="G54" s="278" t="s">
        <v>218</v>
      </c>
      <c r="H54" s="242">
        <f ca="1">Altitude_culmi</f>
        <v>296.10396047690489</v>
      </c>
      <c r="I54" s="259"/>
      <c r="J54" s="268"/>
      <c r="N54" s="75"/>
    </row>
    <row r="55" spans="2:14" x14ac:dyDescent="0.3">
      <c r="B55" s="74"/>
      <c r="C55" s="275" t="s">
        <v>235</v>
      </c>
      <c r="D55" s="249" t="s">
        <v>60</v>
      </c>
      <c r="E55" s="243">
        <f>Long_tot</f>
        <v>1001</v>
      </c>
      <c r="G55" s="278" t="s">
        <v>219</v>
      </c>
      <c r="H55" s="248">
        <f ca="1">Vit_culmi</f>
        <v>9.588714365088471</v>
      </c>
      <c r="I55" s="259"/>
      <c r="J55" s="268"/>
      <c r="N55" s="75"/>
    </row>
    <row r="56" spans="2:14" x14ac:dyDescent="0.3">
      <c r="B56" s="74"/>
      <c r="C56" s="276"/>
      <c r="D56" s="2" t="s">
        <v>221</v>
      </c>
      <c r="E56" s="244">
        <f>MAX(D_ref,D_ail,D_og,(RIGHT(Nb_diam,1)=",")*MAX(D1j,D1r,D2j,D2r))</f>
        <v>80</v>
      </c>
      <c r="G56" s="278" t="s">
        <v>133</v>
      </c>
      <c r="H56" s="242">
        <f ca="1">Portee_balistique</f>
        <v>150.09587023194715</v>
      </c>
      <c r="I56" s="259"/>
      <c r="J56" s="268"/>
      <c r="N56" s="75"/>
    </row>
    <row r="57" spans="2:14" x14ac:dyDescent="0.3">
      <c r="B57" s="74"/>
      <c r="C57" s="276"/>
      <c r="D57" s="2" t="s">
        <v>222</v>
      </c>
      <c r="E57" s="244">
        <f>E_ail*2+D_ail</f>
        <v>257</v>
      </c>
      <c r="G57" s="278" t="s">
        <v>216</v>
      </c>
      <c r="H57" s="242">
        <f ca="1">T_balistique</f>
        <v>16.099999999999962</v>
      </c>
      <c r="I57" s="259"/>
      <c r="J57" s="268"/>
      <c r="N57" s="75"/>
    </row>
    <row r="58" spans="2:14" x14ac:dyDescent="0.3">
      <c r="B58" s="74"/>
      <c r="C58" s="276"/>
      <c r="D58" s="2" t="s">
        <v>223</v>
      </c>
      <c r="E58" s="244">
        <f ca="1">MassePlein</f>
        <v>0.45799999999999996</v>
      </c>
      <c r="G58" s="278" t="s">
        <v>137</v>
      </c>
      <c r="H58" s="248">
        <f ca="1">Vit_max</f>
        <v>107.5769976433798</v>
      </c>
      <c r="I58" s="259"/>
      <c r="J58" s="268"/>
      <c r="N58" s="75"/>
    </row>
    <row r="59" spans="2:14" x14ac:dyDescent="0.3">
      <c r="B59" s="74"/>
      <c r="C59" s="277" t="s">
        <v>236</v>
      </c>
      <c r="D59" s="255" t="s">
        <v>145</v>
      </c>
      <c r="E59" s="260">
        <f>Q_ail</f>
        <v>4</v>
      </c>
      <c r="G59" s="278" t="s">
        <v>136</v>
      </c>
      <c r="H59" s="242">
        <f ca="1">Acc_max</f>
        <v>141.30351488622108</v>
      </c>
      <c r="I59" s="259"/>
      <c r="J59" s="268"/>
      <c r="N59" s="75"/>
    </row>
    <row r="60" spans="2:14" x14ac:dyDescent="0.3">
      <c r="B60" s="74"/>
      <c r="C60" s="12"/>
      <c r="G60" s="269" t="s">
        <v>224</v>
      </c>
      <c r="H60" s="270"/>
      <c r="I60" s="270"/>
      <c r="J60" s="271"/>
      <c r="N60" s="75"/>
    </row>
    <row r="61" spans="2:14" x14ac:dyDescent="0.3">
      <c r="B61" s="74"/>
      <c r="C61" s="275"/>
      <c r="D61" s="249"/>
      <c r="E61" s="246" t="s">
        <v>228</v>
      </c>
      <c r="F61" s="243" t="s">
        <v>229</v>
      </c>
      <c r="G61" s="2"/>
      <c r="H61" s="2"/>
      <c r="I61" s="2"/>
      <c r="J61" s="2"/>
      <c r="K61" s="2"/>
      <c r="N61" s="75"/>
    </row>
    <row r="62" spans="2:14" x14ac:dyDescent="0.3">
      <c r="B62" s="74"/>
      <c r="C62" s="276" t="s">
        <v>237</v>
      </c>
      <c r="D62" s="2" t="s">
        <v>227</v>
      </c>
      <c r="E62" s="242">
        <f ca="1">2*Acc_max*MassePlein</f>
        <v>129.4340196357785</v>
      </c>
      <c r="F62" s="280">
        <f ca="1">E62/9.81</f>
        <v>13.194089667255708</v>
      </c>
      <c r="H62" s="2"/>
      <c r="I62" s="2"/>
      <c r="J62" s="2"/>
      <c r="K62" s="2"/>
      <c r="N62" s="75"/>
    </row>
    <row r="63" spans="2:14" x14ac:dyDescent="0.3">
      <c r="B63" s="74"/>
      <c r="C63" s="276"/>
      <c r="D63" s="2" t="s">
        <v>225</v>
      </c>
      <c r="E63" s="242">
        <f ca="1">2*Acc_max*Masse_ail</f>
        <v>9.400640238350519</v>
      </c>
      <c r="F63" s="248">
        <f ca="1">E63/9.81</f>
        <v>0.95827117618251978</v>
      </c>
      <c r="G63" s="246" t="s">
        <v>231</v>
      </c>
      <c r="H63" s="288">
        <f>S_ail*(ep_ail/1000)*2000</f>
        <v>3.3264000000000009E-2</v>
      </c>
      <c r="I63" s="2"/>
      <c r="J63" s="2"/>
      <c r="K63" s="2"/>
      <c r="N63" s="75"/>
    </row>
    <row r="64" spans="2:14" x14ac:dyDescent="0.3">
      <c r="B64" s="74"/>
      <c r="C64" s="277"/>
      <c r="D64" s="255" t="s">
        <v>226</v>
      </c>
      <c r="E64" s="263">
        <f ca="1">0.104*S_ail*Vit_max^2</f>
        <v>10.00890711278125</v>
      </c>
      <c r="F64" s="281">
        <f ca="1">E64/9.81</f>
        <v>1.020275954411952</v>
      </c>
      <c r="G64" s="274" t="s">
        <v>230</v>
      </c>
      <c r="H64" s="289">
        <f>(E_ail*(m_ail+n_ail)/2)/10^6</f>
        <v>8.3160000000000005E-3</v>
      </c>
      <c r="I64" s="2"/>
      <c r="J64" s="2"/>
      <c r="K64" s="2"/>
      <c r="N64" s="75"/>
    </row>
    <row r="65" spans="2:14" x14ac:dyDescent="0.3">
      <c r="B65" s="74"/>
      <c r="C65" s="282" t="s">
        <v>244</v>
      </c>
      <c r="D65" s="285" t="s">
        <v>242</v>
      </c>
      <c r="E65" s="286">
        <f ca="1">2*Acc_max*H65</f>
        <v>64.717009817889249</v>
      </c>
      <c r="F65" s="286">
        <f ca="1">E65/9.81</f>
        <v>6.5970448336278542</v>
      </c>
      <c r="G65" s="287" t="s">
        <v>243</v>
      </c>
      <c r="H65" s="279">
        <f ca="1">E58/2</f>
        <v>0.22899999999999998</v>
      </c>
      <c r="I65" s="2"/>
      <c r="J65" s="2"/>
      <c r="K65" s="2"/>
      <c r="N65" s="75"/>
    </row>
    <row r="66" spans="2:14" x14ac:dyDescent="0.3">
      <c r="B66" s="74"/>
      <c r="C66" s="6"/>
      <c r="D66" s="2"/>
      <c r="E66" s="2"/>
      <c r="F66" s="2"/>
      <c r="G66" s="2"/>
      <c r="H66" s="2"/>
      <c r="I66" s="2"/>
      <c r="J66" s="2"/>
      <c r="K66" s="2"/>
      <c r="N66" s="75"/>
    </row>
    <row r="67" spans="2:14" x14ac:dyDescent="0.3">
      <c r="B67" s="74"/>
      <c r="F67" s="275" t="s">
        <v>234</v>
      </c>
      <c r="G67" s="249" t="s">
        <v>232</v>
      </c>
      <c r="H67" s="250">
        <f>T_para</f>
        <v>8</v>
      </c>
      <c r="I67" s="251">
        <f ca="1">Temps_culmi</f>
        <v>6.999999999999992</v>
      </c>
      <c r="J67" s="2"/>
      <c r="K67" s="2"/>
      <c r="N67" s="75"/>
    </row>
    <row r="68" spans="2:14" x14ac:dyDescent="0.3">
      <c r="B68" s="74"/>
      <c r="C68" s="6"/>
      <c r="D68" s="2"/>
      <c r="E68" s="2"/>
      <c r="F68" s="275" t="s">
        <v>233</v>
      </c>
      <c r="G68" s="249" t="s">
        <v>129</v>
      </c>
      <c r="H68" s="250">
        <f ca="1">V_para</f>
        <v>5.1266961211658746</v>
      </c>
      <c r="I68" s="251">
        <f>V_satellite</f>
        <v>10.960038730752361</v>
      </c>
      <c r="J68" s="2"/>
      <c r="K68" s="2"/>
      <c r="N68" s="75"/>
    </row>
    <row r="69" spans="2:14" x14ac:dyDescent="0.3">
      <c r="B69" s="74"/>
      <c r="C69" s="6"/>
      <c r="D69" s="2"/>
      <c r="E69" s="2"/>
      <c r="F69" s="276"/>
      <c r="G69" s="2" t="s">
        <v>239</v>
      </c>
      <c r="H69" s="247">
        <f>S_para</f>
        <v>0.26020500000000002</v>
      </c>
      <c r="I69" s="253">
        <f>S_satellite</f>
        <v>0.02</v>
      </c>
      <c r="J69" s="2"/>
      <c r="K69" s="2"/>
      <c r="N69" s="75"/>
    </row>
    <row r="70" spans="2:14" x14ac:dyDescent="0.3">
      <c r="B70" s="74"/>
      <c r="C70" s="226"/>
      <c r="D70" s="2"/>
      <c r="F70" s="276"/>
      <c r="G70" s="2" t="s">
        <v>238</v>
      </c>
      <c r="H70" s="247">
        <f ca="1">V_ouverture</f>
        <v>12.843388235247078</v>
      </c>
      <c r="I70" s="253">
        <f ca="1">V_ouv_sat</f>
        <v>42.974966246289867</v>
      </c>
      <c r="N70" s="75"/>
    </row>
    <row r="71" spans="2:14" x14ac:dyDescent="0.3">
      <c r="B71" s="74"/>
      <c r="C71" s="226"/>
      <c r="F71" s="276"/>
      <c r="G71" s="2" t="s">
        <v>203</v>
      </c>
      <c r="H71" s="247">
        <f ca="1">m_vide</f>
        <v>0.42699999999999999</v>
      </c>
      <c r="I71" s="253">
        <f>m_satellite</f>
        <v>0.15</v>
      </c>
      <c r="N71" s="75"/>
    </row>
    <row r="72" spans="2:14" x14ac:dyDescent="0.3">
      <c r="B72" s="74"/>
      <c r="C72" s="226"/>
      <c r="F72" s="276"/>
      <c r="G72" s="2" t="s">
        <v>240</v>
      </c>
      <c r="H72" s="283">
        <f ca="1">1/2*Rho_moyen*S_para*V_ouverture^2</f>
        <v>26.289416815304001</v>
      </c>
      <c r="I72" s="284">
        <f ca="1">1/2*Rho_moyen*S_satellite*V_ouv_sat^2</f>
        <v>22.623884617404478</v>
      </c>
      <c r="N72" s="75"/>
    </row>
    <row r="73" spans="2:14" x14ac:dyDescent="0.3">
      <c r="B73" s="74"/>
      <c r="D73" s="2"/>
      <c r="F73" s="277"/>
      <c r="G73" s="255" t="s">
        <v>241</v>
      </c>
      <c r="H73" s="256">
        <f ca="1">H72/9.81</f>
        <v>2.6798590025794087</v>
      </c>
      <c r="I73" s="257">
        <f ca="1">I72/9.81</f>
        <v>2.3062063830177855</v>
      </c>
      <c r="N73" s="75"/>
    </row>
    <row r="74" spans="2:14" ht="12.9" thickBot="1" x14ac:dyDescent="0.35">
      <c r="B74" s="77"/>
      <c r="C74" s="78"/>
      <c r="D74" s="78"/>
      <c r="E74" s="78"/>
      <c r="F74" s="78"/>
      <c r="G74" s="78"/>
      <c r="H74" s="78"/>
      <c r="I74" s="78"/>
      <c r="J74" s="78"/>
      <c r="K74" s="78"/>
      <c r="L74" s="78"/>
      <c r="M74" s="78"/>
      <c r="N74" s="79"/>
    </row>
    <row r="76" spans="2:14" ht="12.9" thickBot="1" x14ac:dyDescent="0.35"/>
    <row r="77" spans="2:14" x14ac:dyDescent="0.3">
      <c r="B77" s="71"/>
      <c r="C77" s="72"/>
      <c r="D77" s="72"/>
      <c r="E77" s="72"/>
      <c r="F77" s="72"/>
      <c r="G77" s="72"/>
      <c r="H77" s="72"/>
      <c r="I77" s="72"/>
      <c r="J77" s="72"/>
      <c r="K77" s="72"/>
      <c r="L77" s="72"/>
      <c r="M77" s="72"/>
      <c r="N77" s="73"/>
    </row>
    <row r="78" spans="2:14" x14ac:dyDescent="0.3">
      <c r="B78" s="74"/>
      <c r="D78" s="2" t="s">
        <v>335</v>
      </c>
      <c r="N78" s="75"/>
    </row>
    <row r="79" spans="2:14" ht="12.75" customHeight="1" x14ac:dyDescent="0.4">
      <c r="B79" s="74"/>
      <c r="E79" s="48"/>
      <c r="F79" s="48"/>
      <c r="G79" s="435" t="s">
        <v>341</v>
      </c>
      <c r="I79" s="448"/>
      <c r="J79" s="48"/>
      <c r="K79" s="48"/>
      <c r="N79" s="75"/>
    </row>
    <row r="80" spans="2:14" x14ac:dyDescent="0.3">
      <c r="B80" s="74"/>
      <c r="C80" s="275" t="s">
        <v>336</v>
      </c>
      <c r="D80" s="243" t="str">
        <f>Nom</f>
        <v>Ma fusée</v>
      </c>
      <c r="E80" s="48"/>
      <c r="F80" s="48"/>
      <c r="G80" s="48"/>
      <c r="H80" s="48"/>
      <c r="I80" s="48"/>
      <c r="J80" s="48"/>
      <c r="K80" s="48"/>
      <c r="N80" s="75"/>
    </row>
    <row r="81" spans="2:14" ht="12.9" thickBot="1" x14ac:dyDescent="0.35">
      <c r="B81" s="74"/>
      <c r="C81" s="276" t="s">
        <v>4</v>
      </c>
      <c r="D81" s="244" t="str">
        <f>Club</f>
        <v>Mon club</v>
      </c>
      <c r="E81" s="48"/>
      <c r="F81" s="48"/>
      <c r="G81" s="48"/>
      <c r="H81" s="48"/>
      <c r="I81" s="48"/>
      <c r="J81" s="48"/>
      <c r="K81" s="48"/>
      <c r="N81" s="75"/>
    </row>
    <row r="82" spans="2:14" ht="12.9" thickBot="1" x14ac:dyDescent="0.35">
      <c r="B82" s="74"/>
      <c r="C82" s="432" t="s">
        <v>337</v>
      </c>
      <c r="D82" s="244" t="s">
        <v>14</v>
      </c>
      <c r="E82" s="273" t="s">
        <v>342</v>
      </c>
      <c r="F82" s="441">
        <f>Long_ogive</f>
        <v>199</v>
      </c>
      <c r="G82" s="48"/>
      <c r="H82" s="48"/>
      <c r="I82" s="48"/>
      <c r="J82" s="48"/>
      <c r="K82" s="48"/>
      <c r="N82" s="75"/>
    </row>
    <row r="83" spans="2:14" x14ac:dyDescent="0.3">
      <c r="B83" s="74"/>
      <c r="C83" s="277" t="s">
        <v>338</v>
      </c>
      <c r="D83" s="433">
        <f ca="1">TODAY()</f>
        <v>45325</v>
      </c>
      <c r="E83" s="48"/>
      <c r="F83" s="436"/>
      <c r="G83" s="48"/>
      <c r="H83" s="48"/>
      <c r="I83" s="48"/>
      <c r="J83" s="48"/>
      <c r="K83" s="48"/>
      <c r="N83" s="75"/>
    </row>
    <row r="84" spans="2:14" ht="12.9" thickBot="1" x14ac:dyDescent="0.35">
      <c r="B84" s="74"/>
      <c r="E84" s="48"/>
      <c r="F84" s="436"/>
      <c r="G84" s="48"/>
      <c r="H84" s="48"/>
      <c r="I84" s="48"/>
      <c r="J84" s="440" t="str">
        <f>IF(RIGHT(Nb_diam,1)=",", "", X_j)</f>
        <v/>
      </c>
      <c r="K84" s="48"/>
      <c r="N84" s="75"/>
    </row>
    <row r="85" spans="2:14" ht="12.9" thickBot="1" x14ac:dyDescent="0.35">
      <c r="B85" s="74"/>
      <c r="C85" s="275" t="s">
        <v>339</v>
      </c>
      <c r="D85" s="243" t="str">
        <f>Propu</f>
        <v>p29-1G 57F59</v>
      </c>
      <c r="E85" s="273" t="s">
        <v>343</v>
      </c>
      <c r="F85" s="441">
        <f>D_og</f>
        <v>59</v>
      </c>
      <c r="G85" s="48"/>
      <c r="H85" s="48"/>
      <c r="I85" s="48"/>
      <c r="J85" s="436"/>
      <c r="K85" s="48"/>
      <c r="N85" s="75"/>
    </row>
    <row r="86" spans="2:14" x14ac:dyDescent="0.3">
      <c r="B86" s="74"/>
      <c r="C86" s="277" t="s">
        <v>340</v>
      </c>
      <c r="D86" s="260" t="s">
        <v>14</v>
      </c>
      <c r="E86" s="48"/>
      <c r="F86" s="436"/>
      <c r="G86" s="48"/>
      <c r="H86" s="48"/>
      <c r="I86" s="48"/>
      <c r="J86" s="440" t="str">
        <f>IF(RIGHT(Nb_diam,1)=",", "", X_r)</f>
        <v/>
      </c>
      <c r="K86" s="48"/>
      <c r="N86" s="75"/>
    </row>
    <row r="87" spans="2:14" x14ac:dyDescent="0.3">
      <c r="B87" s="74"/>
      <c r="E87" s="48"/>
      <c r="F87" s="436"/>
      <c r="G87" s="48"/>
      <c r="H87" s="48"/>
      <c r="I87" s="48"/>
      <c r="J87" s="436"/>
      <c r="K87" s="48"/>
      <c r="N87" s="75"/>
    </row>
    <row r="88" spans="2:14" x14ac:dyDescent="0.3">
      <c r="B88" s="74"/>
      <c r="E88" s="48"/>
      <c r="F88" s="436"/>
      <c r="G88" s="48"/>
      <c r="H88" s="48"/>
      <c r="I88" s="48"/>
      <c r="J88" s="440" t="str">
        <f>IF(RIGHT(Nb_diam,1)=",", "", l_j)</f>
        <v/>
      </c>
      <c r="K88" s="48"/>
      <c r="N88" s="75"/>
    </row>
    <row r="89" spans="2:14" ht="12.9" thickBot="1" x14ac:dyDescent="0.35">
      <c r="B89" s="74"/>
      <c r="E89" s="48"/>
      <c r="F89" s="436"/>
      <c r="G89" s="48"/>
      <c r="H89" s="48"/>
      <c r="I89" s="48"/>
      <c r="J89" s="436"/>
      <c r="K89" s="48"/>
      <c r="N89" s="75"/>
    </row>
    <row r="90" spans="2:14" ht="12.9" thickBot="1" x14ac:dyDescent="0.35">
      <c r="B90" s="74"/>
      <c r="E90" s="434" t="s">
        <v>344</v>
      </c>
      <c r="F90" s="440" t="str">
        <f>IF(RIGHT(Nb_diam,1)=",", "", D2j)</f>
        <v/>
      </c>
      <c r="G90" s="48"/>
      <c r="H90" s="48"/>
      <c r="I90" s="48"/>
      <c r="J90" s="441">
        <f>X_ail-m_ail</f>
        <v>892</v>
      </c>
      <c r="K90" s="2"/>
      <c r="N90" s="75"/>
    </row>
    <row r="91" spans="2:14" x14ac:dyDescent="0.3">
      <c r="B91" s="74"/>
      <c r="E91" s="48"/>
      <c r="F91" s="436"/>
      <c r="G91" s="48"/>
      <c r="H91" s="48"/>
      <c r="I91" s="48"/>
      <c r="J91" s="436"/>
      <c r="K91" s="48"/>
      <c r="N91" s="75"/>
    </row>
    <row r="92" spans="2:14" x14ac:dyDescent="0.3">
      <c r="B92" s="74"/>
      <c r="E92" s="48"/>
      <c r="F92" s="436"/>
      <c r="G92" s="48"/>
      <c r="H92" s="48"/>
      <c r="I92" s="48"/>
      <c r="J92" s="440" t="str">
        <f>IF(RIGHT(Nb_diam,1)=",", "", l_r)</f>
        <v/>
      </c>
      <c r="K92" s="48"/>
      <c r="N92" s="75"/>
    </row>
    <row r="93" spans="2:14" x14ac:dyDescent="0.3">
      <c r="B93" s="74"/>
      <c r="E93" s="48"/>
      <c r="F93" s="436"/>
      <c r="G93" s="48"/>
      <c r="H93" s="48"/>
      <c r="I93" s="48"/>
      <c r="J93" s="436"/>
      <c r="K93" s="48"/>
      <c r="N93" s="75"/>
    </row>
    <row r="94" spans="2:14" x14ac:dyDescent="0.3">
      <c r="B94" s="74"/>
      <c r="E94" s="434" t="s">
        <v>345</v>
      </c>
      <c r="F94" s="440" t="str">
        <f>IF(RIGHT(Nb_diam,1)=",", "", D2r)</f>
        <v/>
      </c>
      <c r="G94" s="48"/>
      <c r="H94" s="48"/>
      <c r="I94" s="48"/>
      <c r="J94" s="436"/>
      <c r="K94" s="48"/>
      <c r="N94" s="75"/>
    </row>
    <row r="95" spans="2:14" x14ac:dyDescent="0.3">
      <c r="B95" s="74"/>
      <c r="E95" s="48"/>
      <c r="F95" s="436"/>
      <c r="G95" s="48"/>
      <c r="H95" s="48"/>
      <c r="I95" s="48"/>
      <c r="J95" s="436"/>
      <c r="K95" s="48"/>
      <c r="N95" s="75"/>
    </row>
    <row r="96" spans="2:14" ht="12.9" thickBot="1" x14ac:dyDescent="0.35">
      <c r="B96" s="74"/>
      <c r="E96" s="48"/>
      <c r="F96" s="436"/>
      <c r="G96" s="48"/>
      <c r="H96" s="48"/>
      <c r="I96" s="48"/>
      <c r="J96" s="436"/>
      <c r="K96" s="48"/>
      <c r="N96" s="75"/>
    </row>
    <row r="97" spans="2:14" ht="12.9" thickBot="1" x14ac:dyDescent="0.35">
      <c r="B97" s="74"/>
      <c r="E97" s="273" t="s">
        <v>346</v>
      </c>
      <c r="F97" s="441">
        <f>m_ail</f>
        <v>109</v>
      </c>
      <c r="G97" s="48"/>
      <c r="H97" s="48"/>
      <c r="I97" s="48"/>
      <c r="J97" s="441">
        <f>p_ail</f>
        <v>109</v>
      </c>
      <c r="K97" s="2"/>
      <c r="N97" s="75"/>
    </row>
    <row r="98" spans="2:14" x14ac:dyDescent="0.3">
      <c r="B98" s="74"/>
      <c r="E98" s="48"/>
      <c r="F98" s="48"/>
      <c r="G98" s="48"/>
      <c r="H98" s="48"/>
      <c r="I98" s="48"/>
      <c r="J98" s="436"/>
      <c r="K98" s="48"/>
      <c r="N98" s="75"/>
    </row>
    <row r="99" spans="2:14" x14ac:dyDescent="0.3">
      <c r="B99" s="74"/>
      <c r="E99" s="48"/>
      <c r="F99" s="48"/>
      <c r="G99" s="48"/>
      <c r="H99" s="48"/>
      <c r="I99" s="48"/>
      <c r="J99" s="436"/>
      <c r="K99" s="48"/>
      <c r="N99" s="75"/>
    </row>
    <row r="100" spans="2:14" ht="12.9" thickBot="1" x14ac:dyDescent="0.35">
      <c r="B100" s="74"/>
      <c r="D100" s="429" t="s">
        <v>348</v>
      </c>
      <c r="E100" s="246">
        <f>Q_ail</f>
        <v>4</v>
      </c>
      <c r="F100" s="430"/>
      <c r="G100" s="48"/>
      <c r="H100" s="48"/>
      <c r="I100" s="48"/>
      <c r="J100" s="436"/>
      <c r="K100" s="48"/>
      <c r="N100" s="75"/>
    </row>
    <row r="101" spans="2:14" ht="12.9" thickBot="1" x14ac:dyDescent="0.35">
      <c r="B101" s="74"/>
      <c r="D101" s="437" t="s">
        <v>352</v>
      </c>
      <c r="E101" s="6">
        <f ca="1">XpropuRef-Long_propu</f>
        <v>903</v>
      </c>
      <c r="F101" s="252"/>
      <c r="G101" s="48"/>
      <c r="H101" s="48"/>
      <c r="I101" s="48"/>
      <c r="J101" s="441">
        <f>n_ail</f>
        <v>59</v>
      </c>
      <c r="K101" s="2"/>
      <c r="N101" s="75"/>
    </row>
    <row r="102" spans="2:14" x14ac:dyDescent="0.3">
      <c r="B102" s="74"/>
      <c r="D102" s="437" t="s">
        <v>349</v>
      </c>
      <c r="E102" s="6">
        <f>IF(LEFT(Forme_ogive,4)="Ogiv",1,0)</f>
        <v>1</v>
      </c>
      <c r="F102" s="252" t="s">
        <v>350</v>
      </c>
      <c r="G102" s="48"/>
      <c r="H102" s="48"/>
      <c r="I102" s="48"/>
      <c r="J102" s="436"/>
      <c r="K102" s="48"/>
      <c r="N102" s="75"/>
    </row>
    <row r="103" spans="2:14" x14ac:dyDescent="0.3">
      <c r="B103" s="74"/>
      <c r="D103" s="437"/>
      <c r="E103" s="6">
        <f>IF(LEFT(Forme_ogive,3)="Con",1,0)</f>
        <v>0</v>
      </c>
      <c r="F103" s="252" t="s">
        <v>160</v>
      </c>
      <c r="G103" s="48"/>
      <c r="H103" s="48"/>
      <c r="I103" s="48"/>
      <c r="J103" s="436"/>
      <c r="K103" s="48"/>
      <c r="N103" s="75"/>
    </row>
    <row r="104" spans="2:14" ht="12.9" thickBot="1" x14ac:dyDescent="0.35">
      <c r="B104" s="74"/>
      <c r="D104" s="431"/>
      <c r="E104" s="274">
        <f>IF(LEFT(Forme_ogive,5)="Parab",1,0)</f>
        <v>0</v>
      </c>
      <c r="F104" s="289" t="s">
        <v>351</v>
      </c>
      <c r="G104" s="48"/>
      <c r="H104" s="48"/>
      <c r="I104" s="48"/>
      <c r="J104" s="12" t="s">
        <v>347</v>
      </c>
      <c r="K104" s="48"/>
      <c r="N104" s="75"/>
    </row>
    <row r="105" spans="2:14" ht="12.9" thickBot="1" x14ac:dyDescent="0.35">
      <c r="B105" s="74"/>
      <c r="D105" s="2"/>
      <c r="E105" s="2"/>
      <c r="F105" s="2"/>
      <c r="G105" s="273"/>
      <c r="H105" s="441">
        <f>E_ail</f>
        <v>99</v>
      </c>
      <c r="I105" s="273"/>
      <c r="J105" s="441">
        <f>ep_ail</f>
        <v>2</v>
      </c>
      <c r="K105" s="48"/>
      <c r="N105" s="75"/>
    </row>
    <row r="106" spans="2:14" x14ac:dyDescent="0.3">
      <c r="B106" s="74"/>
      <c r="D106" s="429"/>
      <c r="E106" s="246" t="s">
        <v>356</v>
      </c>
      <c r="F106" s="243" t="s">
        <v>355</v>
      </c>
      <c r="N106" s="75"/>
    </row>
    <row r="107" spans="2:14" x14ac:dyDescent="0.3">
      <c r="B107" s="74"/>
      <c r="D107" s="437" t="s">
        <v>353</v>
      </c>
      <c r="E107" s="6">
        <f>MasseSans</f>
        <v>0.35899999999999999</v>
      </c>
      <c r="F107" s="244">
        <f ca="1">MassePlein</f>
        <v>0.45799999999999996</v>
      </c>
      <c r="N107" s="75"/>
    </row>
    <row r="108" spans="2:14" x14ac:dyDescent="0.3">
      <c r="B108" s="74"/>
      <c r="D108" s="431" t="s">
        <v>354</v>
      </c>
      <c r="E108" s="274">
        <f>XcgSans</f>
        <v>639</v>
      </c>
      <c r="F108" s="260">
        <f ca="1">XcgPlein</f>
        <v>706.65720524017468</v>
      </c>
      <c r="N108" s="75"/>
    </row>
    <row r="109" spans="2:14" x14ac:dyDescent="0.3">
      <c r="B109" s="74"/>
      <c r="N109" s="75"/>
    </row>
    <row r="110" spans="2:14" x14ac:dyDescent="0.3">
      <c r="B110" s="74"/>
      <c r="D110" s="438" t="s">
        <v>357</v>
      </c>
      <c r="E110" s="439">
        <f ca="1">MasseVide</f>
        <v>0.42699999999999999</v>
      </c>
      <c r="G110" s="429" t="s">
        <v>358</v>
      </c>
      <c r="H110" s="265"/>
      <c r="I110" s="265"/>
      <c r="J110" s="266"/>
      <c r="N110" s="75"/>
    </row>
    <row r="111" spans="2:14" x14ac:dyDescent="0.3">
      <c r="B111" s="74"/>
      <c r="G111" s="276" t="s">
        <v>215</v>
      </c>
      <c r="H111" s="6">
        <f>Beta_rampe</f>
        <v>80</v>
      </c>
      <c r="I111" s="6">
        <v>80</v>
      </c>
      <c r="J111" s="244">
        <v>90</v>
      </c>
      <c r="N111" s="75"/>
    </row>
    <row r="112" spans="2:14" x14ac:dyDescent="0.3">
      <c r="B112" s="74"/>
      <c r="G112" s="278" t="s">
        <v>217</v>
      </c>
      <c r="H112" s="247">
        <f ca="1">Temps_culmi</f>
        <v>6.999999999999992</v>
      </c>
      <c r="I112" s="259"/>
      <c r="J112" s="268"/>
      <c r="N112" s="75"/>
    </row>
    <row r="113" spans="2:14" ht="12.75" customHeight="1" x14ac:dyDescent="0.4">
      <c r="B113" s="74"/>
      <c r="D113" s="435" t="s">
        <v>359</v>
      </c>
      <c r="E113" s="48"/>
      <c r="G113" s="278" t="s">
        <v>218</v>
      </c>
      <c r="H113" s="242">
        <f ca="1">Altitude_culmi</f>
        <v>296.10396047690489</v>
      </c>
      <c r="I113" s="259"/>
      <c r="J113" s="268"/>
      <c r="N113" s="75"/>
    </row>
    <row r="114" spans="2:14" ht="12.75" customHeight="1" x14ac:dyDescent="0.4">
      <c r="B114" s="74"/>
      <c r="D114" s="48"/>
      <c r="E114" s="48"/>
      <c r="F114" s="435"/>
      <c r="G114" s="278" t="s">
        <v>219</v>
      </c>
      <c r="H114" s="248">
        <f ca="1">Vit_culmi</f>
        <v>9.588714365088471</v>
      </c>
      <c r="I114" s="259"/>
      <c r="J114" s="268"/>
      <c r="N114" s="75"/>
    </row>
    <row r="115" spans="2:14" x14ac:dyDescent="0.3">
      <c r="B115" s="74"/>
      <c r="C115" s="429" t="s">
        <v>360</v>
      </c>
      <c r="D115" s="249"/>
      <c r="E115" s="446">
        <v>0.1</v>
      </c>
      <c r="G115" s="278" t="s">
        <v>133</v>
      </c>
      <c r="H115" s="242">
        <f ca="1">Portee_balistique</f>
        <v>150.09587023194715</v>
      </c>
      <c r="I115" s="259"/>
      <c r="J115" s="268"/>
      <c r="N115" s="75"/>
    </row>
    <row r="116" spans="2:14" ht="12.75" customHeight="1" x14ac:dyDescent="0.3">
      <c r="B116" s="74"/>
      <c r="C116" s="431" t="s">
        <v>361</v>
      </c>
      <c r="D116" s="255"/>
      <c r="E116" s="447">
        <f>E_ail*(m_ail+n_ail)/2</f>
        <v>8316</v>
      </c>
      <c r="G116" s="278" t="s">
        <v>137</v>
      </c>
      <c r="H116" s="248">
        <f ca="1">Vit_max</f>
        <v>107.5769976433798</v>
      </c>
      <c r="I116" s="259"/>
      <c r="J116" s="268"/>
      <c r="N116" s="75"/>
    </row>
    <row r="117" spans="2:14" ht="12.75" customHeight="1" x14ac:dyDescent="0.3">
      <c r="B117" s="74"/>
      <c r="D117" s="48"/>
      <c r="E117" s="48"/>
      <c r="F117" s="48"/>
      <c r="G117" s="278" t="s">
        <v>136</v>
      </c>
      <c r="H117" s="242">
        <f ca="1">Acc_max</f>
        <v>141.30351488622108</v>
      </c>
      <c r="I117" s="259"/>
      <c r="J117" s="268"/>
      <c r="N117" s="75"/>
    </row>
    <row r="118" spans="2:14" x14ac:dyDescent="0.3">
      <c r="B118" s="74"/>
      <c r="C118" s="429" t="s">
        <v>362</v>
      </c>
      <c r="D118" s="249"/>
      <c r="E118" s="457"/>
      <c r="F118" s="458">
        <f>J90/100</f>
        <v>8.92</v>
      </c>
      <c r="G118" s="276" t="s">
        <v>5</v>
      </c>
      <c r="H118" s="6">
        <f>Cx</f>
        <v>0.6</v>
      </c>
      <c r="I118" s="259"/>
      <c r="J118" s="268"/>
      <c r="N118" s="75"/>
    </row>
    <row r="119" spans="2:14" x14ac:dyDescent="0.3">
      <c r="B119" s="74"/>
      <c r="C119" s="437" t="s">
        <v>363</v>
      </c>
      <c r="D119" s="2"/>
      <c r="E119" s="459">
        <f ca="1">2*Acc_max*MasseSans</f>
        <v>101.45592368830673</v>
      </c>
      <c r="F119" s="460">
        <f ca="1">E119/g</f>
        <v>10.342092119093447</v>
      </c>
      <c r="G119" s="269" t="s">
        <v>224</v>
      </c>
      <c r="H119" s="270"/>
      <c r="I119" s="270"/>
      <c r="J119" s="271"/>
      <c r="N119" s="75"/>
    </row>
    <row r="120" spans="2:14" x14ac:dyDescent="0.3">
      <c r="B120" s="74"/>
      <c r="C120" s="437" t="s">
        <v>364</v>
      </c>
      <c r="D120" s="2"/>
      <c r="E120" s="459">
        <f ca="1">2*Acc_max*E115</f>
        <v>28.260702977244218</v>
      </c>
      <c r="F120" s="460">
        <f ca="1">E120/g</f>
        <v>2.8808056042043035</v>
      </c>
      <c r="N120" s="75"/>
    </row>
    <row r="121" spans="2:14" x14ac:dyDescent="0.3">
      <c r="B121" s="74"/>
      <c r="C121" s="431" t="s">
        <v>365</v>
      </c>
      <c r="D121" s="255"/>
      <c r="E121" s="452">
        <f ca="1">0.104*E116/1000000*Vit_max^2</f>
        <v>10.00890711278125</v>
      </c>
      <c r="F121" s="453">
        <f ca="1">E121/g</f>
        <v>1.020275954411952</v>
      </c>
      <c r="G121" s="48"/>
      <c r="H121" s="48"/>
      <c r="I121" s="48"/>
      <c r="J121" s="48"/>
      <c r="N121" s="75"/>
    </row>
    <row r="122" spans="2:14" ht="12.75" customHeight="1" x14ac:dyDescent="0.3">
      <c r="B122" s="74"/>
      <c r="H122" s="48"/>
      <c r="I122" s="48"/>
      <c r="J122" s="48"/>
      <c r="N122" s="75"/>
    </row>
    <row r="123" spans="2:14" ht="12.75" customHeight="1" x14ac:dyDescent="0.4">
      <c r="B123" s="74"/>
      <c r="G123" s="435"/>
      <c r="H123" s="435"/>
      <c r="I123" s="435"/>
      <c r="J123" s="48"/>
      <c r="N123" s="75"/>
    </row>
    <row r="124" spans="2:14" ht="12.75" customHeight="1" x14ac:dyDescent="0.4">
      <c r="B124" s="74"/>
      <c r="C124" s="48"/>
      <c r="D124" s="435" t="s">
        <v>366</v>
      </c>
      <c r="E124" s="448"/>
      <c r="J124" s="48"/>
      <c r="K124" s="48"/>
      <c r="N124" s="75"/>
    </row>
    <row r="125" spans="2:14" x14ac:dyDescent="0.3">
      <c r="B125" s="74"/>
      <c r="C125" s="445" t="s">
        <v>367</v>
      </c>
      <c r="J125" s="48"/>
      <c r="K125" s="48"/>
      <c r="N125" s="75"/>
    </row>
    <row r="126" spans="2:14" x14ac:dyDescent="0.3">
      <c r="B126" s="74"/>
      <c r="C126" s="429" t="s">
        <v>368</v>
      </c>
      <c r="D126" s="249"/>
      <c r="E126" s="449">
        <v>4</v>
      </c>
      <c r="G126" s="48"/>
      <c r="J126" s="48"/>
      <c r="N126" s="75"/>
    </row>
    <row r="127" spans="2:14" x14ac:dyDescent="0.3">
      <c r="B127" s="74"/>
      <c r="C127" s="431" t="s">
        <v>369</v>
      </c>
      <c r="D127" s="255"/>
      <c r="E127" s="456">
        <f>S_para</f>
        <v>0.26020500000000002</v>
      </c>
      <c r="G127" s="48"/>
      <c r="J127" s="48"/>
      <c r="N127" s="75"/>
    </row>
    <row r="128" spans="2:14" x14ac:dyDescent="0.3">
      <c r="B128" s="74"/>
      <c r="C128" s="681" t="s">
        <v>370</v>
      </c>
      <c r="D128" s="682"/>
      <c r="E128" s="450">
        <f ca="1">0.5*Rho_moyen*S_para*Vit_culmi^2</f>
        <v>14.653537974242894</v>
      </c>
      <c r="F128" s="451">
        <f ca="1">E128/g</f>
        <v>1.493734757822925</v>
      </c>
      <c r="H128" s="48"/>
      <c r="I128" s="48"/>
      <c r="J128" s="48"/>
      <c r="K128" s="48"/>
      <c r="N128" s="75"/>
    </row>
    <row r="129" spans="2:14" x14ac:dyDescent="0.3">
      <c r="B129" s="74"/>
      <c r="C129" s="679" t="s">
        <v>371</v>
      </c>
      <c r="D129" s="680"/>
      <c r="E129" s="452">
        <f ca="1">E128/E126*2</f>
        <v>7.3267689871214472</v>
      </c>
      <c r="F129" s="453">
        <f ca="1">E129/g</f>
        <v>0.74686737891146249</v>
      </c>
      <c r="H129" s="48"/>
      <c r="I129" s="48"/>
      <c r="J129" s="48"/>
      <c r="K129" s="48"/>
      <c r="N129" s="75"/>
    </row>
    <row r="130" spans="2:14" x14ac:dyDescent="0.3">
      <c r="B130" s="74"/>
      <c r="C130" s="47"/>
      <c r="D130" s="47"/>
      <c r="E130" s="443"/>
      <c r="F130" s="444"/>
      <c r="H130" s="48"/>
      <c r="I130" s="48"/>
      <c r="J130" s="48"/>
      <c r="K130" s="48"/>
      <c r="N130" s="75"/>
    </row>
    <row r="131" spans="2:14" x14ac:dyDescent="0.3">
      <c r="B131" s="74"/>
      <c r="C131" s="445" t="s">
        <v>372</v>
      </c>
      <c r="D131" s="48"/>
      <c r="E131" s="48"/>
      <c r="F131" s="48"/>
      <c r="G131" s="48"/>
      <c r="H131" s="48"/>
      <c r="I131" s="48"/>
      <c r="J131" s="48"/>
      <c r="K131" s="48"/>
      <c r="N131" s="75"/>
    </row>
    <row r="132" spans="2:14" x14ac:dyDescent="0.3">
      <c r="B132" s="74"/>
      <c r="C132" s="681" t="s">
        <v>373</v>
      </c>
      <c r="D132" s="682"/>
      <c r="E132" s="454">
        <v>1</v>
      </c>
      <c r="F132" s="48"/>
      <c r="G132" s="48"/>
      <c r="H132" s="48"/>
      <c r="I132" s="48"/>
      <c r="J132" s="442"/>
      <c r="K132" s="48"/>
      <c r="N132" s="75"/>
    </row>
    <row r="133" spans="2:14" x14ac:dyDescent="0.3">
      <c r="B133" s="74"/>
      <c r="C133" s="679" t="s">
        <v>374</v>
      </c>
      <c r="D133" s="680"/>
      <c r="E133" s="455">
        <f ca="1">2*E132*Acc_max/g</f>
        <v>28.808056042043031</v>
      </c>
      <c r="F133" s="48"/>
      <c r="G133" s="48"/>
      <c r="H133" s="48"/>
      <c r="I133" s="48"/>
      <c r="J133" s="48"/>
      <c r="K133" s="48"/>
      <c r="N133" s="75"/>
    </row>
    <row r="134" spans="2:14" ht="12.9" thickBot="1" x14ac:dyDescent="0.35">
      <c r="B134" s="77"/>
      <c r="C134" s="461"/>
      <c r="D134" s="461"/>
      <c r="E134" s="461"/>
      <c r="F134" s="461"/>
      <c r="G134" s="461"/>
      <c r="H134" s="461"/>
      <c r="I134" s="461"/>
      <c r="J134" s="461"/>
      <c r="K134" s="461"/>
      <c r="L134" s="78"/>
      <c r="M134" s="78"/>
      <c r="N134" s="79"/>
    </row>
  </sheetData>
  <sheetProtection algorithmName="SHA-512" hashValue="hPW55fXgN2sF0rdmrUjeSRNNiQdOIANll77I7z4pOMGhgAMnv3SeC70tlG1ZvqBw5PTm8+/9RK5zYBPb8YMDZQ==" saltValue="649bwDB7J1RR5Eo9ArOefA==" spinCount="100000" sheet="1" objects="1" scenarios="1"/>
  <mergeCells count="22">
    <mergeCell ref="C133:D133"/>
    <mergeCell ref="C128:D128"/>
    <mergeCell ref="C129:D129"/>
    <mergeCell ref="C132:D132"/>
    <mergeCell ref="H44:I44"/>
    <mergeCell ref="H45:I45"/>
    <mergeCell ref="H46:I46"/>
    <mergeCell ref="E31:G31"/>
    <mergeCell ref="M29:M30"/>
    <mergeCell ref="H30:I30"/>
    <mergeCell ref="L29:L30"/>
    <mergeCell ref="H31:I31"/>
    <mergeCell ref="H11:I11"/>
    <mergeCell ref="H12:I12"/>
    <mergeCell ref="H13:I13"/>
    <mergeCell ref="H29:K29"/>
    <mergeCell ref="C29:C30"/>
    <mergeCell ref="D29:D30"/>
    <mergeCell ref="H17:I17"/>
    <mergeCell ref="H18:I18"/>
    <mergeCell ref="H19:I19"/>
    <mergeCell ref="E29:G30"/>
  </mergeCells>
  <phoneticPr fontId="8" type="noConversion"/>
  <conditionalFormatting sqref="D18:E18">
    <cfRule type="expression" dxfId="2" priority="2" stopIfTrue="1">
      <formula>IF(Propu="Cariacou",0,1)</formula>
    </cfRule>
  </conditionalFormatting>
  <conditionalFormatting sqref="F18:I19">
    <cfRule type="expression" dxfId="1" priority="1" stopIfTrue="1">
      <formula>IF(Propu="Cariacou",1,0)</formula>
    </cfRule>
  </conditionalFormatting>
  <conditionalFormatting sqref="I16 I68:I73">
    <cfRule type="expression" dxfId="0" priority="6" stopIfTrue="1">
      <formula>Nb_sat="0 satellite"</formula>
    </cfRule>
  </conditionalFormatting>
  <pageMargins left="0.39370078740157483" right="0.39370078740157483" top="0.39370078740157483" bottom="0.39370078740157483" header="0" footer="0"/>
  <pageSetup paperSize="9" scale="61" orientation="portrait" r:id="rId1"/>
  <ignoredErrors>
    <ignoredError sqref="H65 H63" unlockedFormula="1"/>
  </ignoredError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216</vt:i4>
      </vt:variant>
    </vt:vector>
  </HeadingPairs>
  <TitlesOfParts>
    <vt:vector size="224" baseType="lpstr">
      <vt:lpstr>Stabilito</vt:lpstr>
      <vt:lpstr>Trajecto</vt:lpstr>
      <vt:lpstr>Courbes</vt:lpstr>
      <vt:lpstr>Propu</vt:lpstr>
      <vt:lpstr>Calculs</vt:lpstr>
      <vt:lpstr>Abaco</vt:lpstr>
      <vt:lpstr>Info</vt:lpstr>
      <vt:lpstr>Controle</vt:lpstr>
      <vt:lpstr>a_prop</vt:lpstr>
      <vt:lpstr>Acc_max</vt:lpstr>
      <vt:lpstr>acc_x</vt:lpstr>
      <vt:lpstr>acc_xz</vt:lpstr>
      <vt:lpstr>acc_z</vt:lpstr>
      <vt:lpstr>Alt_para</vt:lpstr>
      <vt:lpstr>alt_prop</vt:lpstr>
      <vt:lpstr>Alt_rampe</vt:lpstr>
      <vt:lpstr>Alt_sat</vt:lpstr>
      <vt:lpstr>Altitude_culmi</vt:lpstr>
      <vt:lpstr>b_bal</vt:lpstr>
      <vt:lpstr>b_prop</vt:lpstr>
      <vt:lpstr>Beta</vt:lpstr>
      <vt:lpstr>Beta_rampe</vt:lpstr>
      <vt:lpstr>BetaD</vt:lpstr>
      <vt:lpstr>CdP</vt:lpstr>
      <vt:lpstr>CdP_P</vt:lpstr>
      <vt:lpstr>CdP_t</vt:lpstr>
      <vt:lpstr>Club</vt:lpstr>
      <vt:lpstr>Cn</vt:lpstr>
      <vt:lpstr>Cn0</vt:lpstr>
      <vt:lpstr>Stabilito!Cnai</vt:lpstr>
      <vt:lpstr>Cnai0</vt:lpstr>
      <vt:lpstr>Stabilito!Cnail</vt:lpstr>
      <vt:lpstr>Stabilito!Cnc</vt:lpstr>
      <vt:lpstr>Stabilito!Cni</vt:lpstr>
      <vt:lpstr>Cni0</vt:lpstr>
      <vt:lpstr>Stabilito!Cnj</vt:lpstr>
      <vt:lpstr>Stabilito!Cno</vt:lpstr>
      <vt:lpstr>Stabilito!Cnr</vt:lpstr>
      <vt:lpstr>Combustion</vt:lpstr>
      <vt:lpstr>Stabilito!CritCnmax</vt:lpstr>
      <vt:lpstr>Stabilito!CritCnmin</vt:lpstr>
      <vt:lpstr>Stabilito!CritFinessemax</vt:lpstr>
      <vt:lpstr>Stabilito!CritFinessemin</vt:lpstr>
      <vt:lpstr>Stabilito!CritMsCnmax</vt:lpstr>
      <vt:lpstr>Stabilito!CritMsCnmin</vt:lpstr>
      <vt:lpstr>Stabilito!CritMsmax</vt:lpstr>
      <vt:lpstr>Stabilito!CritMsmin</vt:lpstr>
      <vt:lpstr>Cx</vt:lpstr>
      <vt:lpstr>Cx_para</vt:lpstr>
      <vt:lpstr>Cx_satellite</vt:lpstr>
      <vt:lpstr>D_ail</vt:lpstr>
      <vt:lpstr>Stabilito!D_can</vt:lpstr>
      <vt:lpstr>Stabilito!D_int</vt:lpstr>
      <vt:lpstr>D_og</vt:lpstr>
      <vt:lpstr>D_ref</vt:lpstr>
      <vt:lpstr>D_var</vt:lpstr>
      <vt:lpstr>D1j</vt:lpstr>
      <vt:lpstr>D1r</vt:lpstr>
      <vt:lpstr>D2j</vt:lpstr>
      <vt:lpstr>D2r</vt:lpstr>
      <vt:lpstr>Débit</vt:lpstr>
      <vt:lpstr>Depotage</vt:lpstr>
      <vt:lpstr>Diam_propu</vt:lpstr>
      <vt:lpstr>Dt_para</vt:lpstr>
      <vt:lpstr>Dt_satellite</vt:lpstr>
      <vt:lpstr>Dx_para</vt:lpstr>
      <vt:lpstr>Dx_sat</vt:lpstr>
      <vt:lpstr>E_ail</vt:lpstr>
      <vt:lpstr>E_can</vt:lpstr>
      <vt:lpstr>Stabilito!E_int</vt:lpstr>
      <vt:lpstr>ep_ail</vt:lpstr>
      <vt:lpstr>ep_can</vt:lpstr>
      <vt:lpstr>Stabilito!ep_int</vt:lpstr>
      <vt:lpstr>Event</vt:lpstr>
      <vt:lpstr>Event_para</vt:lpstr>
      <vt:lpstr>Event_sat</vt:lpstr>
      <vt:lpstr>Stabilito!f_ail</vt:lpstr>
      <vt:lpstr>Stabilito!f_can</vt:lpstr>
      <vt:lpstr>Stabilito!f_int</vt:lpstr>
      <vt:lpstr>Finesse</vt:lpstr>
      <vt:lpstr>Forme_ogive</vt:lpstr>
      <vt:lpstr>g</vt:lpstr>
      <vt:lpstr>i_P</vt:lpstr>
      <vt:lpstr>I_total</vt:lpstr>
      <vt:lpstr>ISP</vt:lpstr>
      <vt:lpstr>l_j</vt:lpstr>
      <vt:lpstr>l_r</vt:lpstr>
      <vt:lpstr>L_rampe</vt:lpstr>
      <vt:lpstr>Lang</vt:lpstr>
      <vt:lpstr>Liste_µfu</vt:lpstr>
      <vt:lpstr>Liste_fusex</vt:lpstr>
      <vt:lpstr>Liste_H2O</vt:lpstr>
      <vt:lpstr>Liste_minif</vt:lpstr>
      <vt:lpstr>Liste_minifT</vt:lpstr>
      <vt:lpstr>Liste_propu</vt:lpstr>
      <vt:lpstr>Liste_RC</vt:lpstr>
      <vt:lpstr>Liste_Type_para</vt:lpstr>
      <vt:lpstr>Long_ogive</vt:lpstr>
      <vt:lpstr>Long_propu</vt:lpstr>
      <vt:lpstr>Long_tot</vt:lpstr>
      <vt:lpstr>m</vt:lpstr>
      <vt:lpstr>m_ail</vt:lpstr>
      <vt:lpstr>m_bal</vt:lpstr>
      <vt:lpstr>m_can</vt:lpstr>
      <vt:lpstr>Stabilito!m_int</vt:lpstr>
      <vt:lpstr>m_poudre</vt:lpstr>
      <vt:lpstr>m_prop</vt:lpstr>
      <vt:lpstr>m_satellite</vt:lpstr>
      <vt:lpstr>m_tot</vt:lpstr>
      <vt:lpstr>m_var</vt:lpstr>
      <vt:lpstr>m_vide</vt:lpstr>
      <vt:lpstr>Masse_ail</vt:lpstr>
      <vt:lpstr>MassePlein</vt:lpstr>
      <vt:lpstr>MasseSans</vt:lpstr>
      <vt:lpstr>MasseVide</vt:lpstr>
      <vt:lpstr>Matricule</vt:lpstr>
      <vt:lpstr>Menu_Empennage</vt:lpstr>
      <vt:lpstr>Menu_Lang</vt:lpstr>
      <vt:lpstr>Menu_Ogive</vt:lpstr>
      <vt:lpstr>Menu_sat</vt:lpstr>
      <vt:lpstr>Menu_Transitions</vt:lpstr>
      <vt:lpstr>Menu_Type</vt:lpstr>
      <vt:lpstr>Menu_with_motor</vt:lpstr>
      <vt:lpstr>MpropuPlein</vt:lpstr>
      <vt:lpstr>MpropuVide</vt:lpstr>
      <vt:lpstr>MS_Cn_max</vt:lpstr>
      <vt:lpstr>MS_Cn_min</vt:lpstr>
      <vt:lpstr>MS_max</vt:lpstr>
      <vt:lpstr>MS_min</vt:lpstr>
      <vt:lpstr>n_ail</vt:lpstr>
      <vt:lpstr>n_can</vt:lpstr>
      <vt:lpstr>Stabilito!n_int</vt:lpstr>
      <vt:lpstr>Nb_diam</vt:lpstr>
      <vt:lpstr>Nb_sat</vt:lpstr>
      <vt:lpstr>Nom</vt:lpstr>
      <vt:lpstr>p_ail</vt:lpstr>
      <vt:lpstr>p_can</vt:lpstr>
      <vt:lpstr>Stabilito!p_int</vt:lpstr>
      <vt:lpstr>pas</vt:lpstr>
      <vt:lpstr>Poids</vt:lpstr>
      <vt:lpstr>Portee_balistique</vt:lpstr>
      <vt:lpstr>pos_x</vt:lpstr>
      <vt:lpstr>pos_xz</vt:lpstr>
      <vt:lpstr>pos_z</vt:lpstr>
      <vt:lpstr>pos_z_montant</vt:lpstr>
      <vt:lpstr>Poussee</vt:lpstr>
      <vt:lpstr>Propu</vt:lpstr>
      <vt:lpstr>Q_ail</vt:lpstr>
      <vt:lpstr>Q_can</vt:lpstr>
      <vt:lpstr>Stabilito!Q_int</vt:lpstr>
      <vt:lpstr>Q_var</vt:lpstr>
      <vt:lpstr>R_rampe</vt:lpstr>
      <vt:lpstr>Rho</vt:lpstr>
      <vt:lpstr>Rho_moyen</vt:lpstr>
      <vt:lpstr>S_ail</vt:lpstr>
      <vt:lpstr>S_para</vt:lpstr>
      <vt:lpstr>S_para_croix</vt:lpstr>
      <vt:lpstr>S_para_rond</vt:lpstr>
      <vt:lpstr>S_satellite</vt:lpstr>
      <vt:lpstr>Sref</vt:lpstr>
      <vt:lpstr>sS</vt:lpstr>
      <vt:lpstr>t</vt:lpstr>
      <vt:lpstr>T_balistique</vt:lpstr>
      <vt:lpstr>T_ini</vt:lpstr>
      <vt:lpstr>T_para</vt:lpstr>
      <vt:lpstr>T_satellite</vt:lpstr>
      <vt:lpstr>Temps_culmi</vt:lpstr>
      <vt:lpstr>Temps_fin_propu</vt:lpstr>
      <vt:lpstr>Trainee</vt:lpstr>
      <vt:lpstr>tT_fus</vt:lpstr>
      <vt:lpstr>tT_sat</vt:lpstr>
      <vt:lpstr>Type_fusee</vt:lpstr>
      <vt:lpstr>Abaco!Type_masquage</vt:lpstr>
      <vt:lpstr>Stabilito!Type_masquage</vt:lpstr>
      <vt:lpstr>Type_propu</vt:lpstr>
      <vt:lpstr>V_ini</vt:lpstr>
      <vt:lpstr>V_ouv_sat</vt:lpstr>
      <vt:lpstr>V_ouverture</vt:lpstr>
      <vt:lpstr>V_para</vt:lpstr>
      <vt:lpstr>V_prop</vt:lpstr>
      <vt:lpstr>V_satellite</vt:lpstr>
      <vt:lpstr>V_vent</vt:lpstr>
      <vt:lpstr>V_vent_sat</vt:lpstr>
      <vt:lpstr>Stabilito!Version</vt:lpstr>
      <vt:lpstr>Trajecto!Version</vt:lpstr>
      <vt:lpstr>Vit_culmi</vt:lpstr>
      <vt:lpstr>Vit_max</vt:lpstr>
      <vt:lpstr>vit_x</vt:lpstr>
      <vt:lpstr>vit_xz</vt:lpstr>
      <vt:lpstr>vit_z</vt:lpstr>
      <vt:lpstr>Vsortie_de_rampe</vt:lpstr>
      <vt:lpstr>X_ail</vt:lpstr>
      <vt:lpstr>X_can</vt:lpstr>
      <vt:lpstr>X_culmi</vt:lpstr>
      <vt:lpstr>X_ini</vt:lpstr>
      <vt:lpstr>Stabilito!X_int</vt:lpstr>
      <vt:lpstr>X_j</vt:lpstr>
      <vt:lpstr>X_para</vt:lpstr>
      <vt:lpstr>X_r</vt:lpstr>
      <vt:lpstr>X_satellite</vt:lpstr>
      <vt:lpstr>XcgPlein</vt:lpstr>
      <vt:lpstr>XcgSans</vt:lpstr>
      <vt:lpstr>XcgVide</vt:lpstr>
      <vt:lpstr>Stabilito!XCp</vt:lpstr>
      <vt:lpstr>XCp0</vt:lpstr>
      <vt:lpstr>Stabilito!XCpa</vt:lpstr>
      <vt:lpstr>Stabilito!XCpai</vt:lpstr>
      <vt:lpstr>XCpai0</vt:lpstr>
      <vt:lpstr>Stabilito!XCpc</vt:lpstr>
      <vt:lpstr>Stabilito!XCpi</vt:lpstr>
      <vt:lpstr>XCpi0</vt:lpstr>
      <vt:lpstr>Stabilito!XCpj</vt:lpstr>
      <vt:lpstr>Stabilito!XCpo</vt:lpstr>
      <vt:lpstr>Stabilito!XCpr</vt:lpstr>
      <vt:lpstr>XpropuPlein</vt:lpstr>
      <vt:lpstr>XpropuRef</vt:lpstr>
      <vt:lpstr>XpropuVide</vt:lpstr>
      <vt:lpstr>Z_ini</vt:lpstr>
      <vt:lpstr>Abaco!Zone_d_impression</vt:lpstr>
      <vt:lpstr>Courbes!Zone_d_impression</vt:lpstr>
      <vt:lpstr>Stabilito!Zone_d_impression</vt:lpstr>
      <vt:lpstr>Trajecto!Zone_d_impression</vt:lpstr>
      <vt:lpstr>zZ_fus</vt:lpstr>
      <vt:lpstr>zZ_sat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StabTraj</dc:title>
  <dc:creator>Léo Côme;Sylvain Besson</dc:creator>
  <cp:lastModifiedBy>Sylvain Besson</cp:lastModifiedBy>
  <cp:lastPrinted>2011-11-08T21:12:34Z</cp:lastPrinted>
  <dcterms:created xsi:type="dcterms:W3CDTF">2008-11-03T20:48:06Z</dcterms:created>
  <dcterms:modified xsi:type="dcterms:W3CDTF">2024-02-03T10:50:28Z</dcterms:modified>
</cp:coreProperties>
</file>